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avi\Documents\Bitrix24\КОМПЬЮТЕР\Автоматизация продаж\Подбор Узлов учета\Подбор расходомера ПРЭМ для ЖКХ\"/>
    </mc:Choice>
  </mc:AlternateContent>
  <xr:revisionPtr revIDLastSave="0" documentId="13_ncr:1_{1C4CC659-2ECF-498D-972F-F0E67F5EC5A6}" xr6:coauthVersionLast="47" xr6:coauthVersionMax="47" xr10:uidLastSave="{00000000-0000-0000-0000-000000000000}"/>
  <workbookProtection workbookAlgorithmName="SHA-512" workbookHashValue="XKZ8yKs6iZEQITBkbn9cduoewjIvA8b4L4NA2yKBhDrS+UXs59AA5NMFsUpuBnUAAtWuBlW8V0bBZ0TDSTmWpQ==" workbookSaltValue="fBsOdiZOdrjO65Xs2fvM4Q==" workbookSpinCount="100000" lockStructure="1"/>
  <bookViews>
    <workbookView xWindow="-103" yWindow="-103" windowWidth="16663" windowHeight="9892" tabRatio="753" xr2:uid="{00000000-000D-0000-FFFF-FFFF00000000}"/>
  </bookViews>
  <sheets>
    <sheet name="Содержание" sheetId="1" r:id="rId1"/>
    <sheet name="Схема 1" sheetId="9" r:id="rId2"/>
    <sheet name="Схема 2" sheetId="2" r:id="rId3"/>
    <sheet name="Схема 3_вариант 1" sheetId="3" r:id="rId4"/>
    <sheet name="Схема 3_вариант 2" sheetId="4" r:id="rId5"/>
    <sheet name="Схема 4_вариант 1" sheetId="5" r:id="rId6"/>
    <sheet name="Схема 4_вариант 2" sheetId="6" r:id="rId7"/>
    <sheet name="Схема 5" sheetId="7" r:id="rId8"/>
    <sheet name="Схема 6" sheetId="8" r:id="rId9"/>
  </sheets>
  <definedNames>
    <definedName name="_xlnm._FilterDatabase" localSheetId="2" hidden="1">'Схема 2'!$B$29:$E$33</definedName>
    <definedName name="Control_DU_Tr">'Схема 2'!$Q$135:$Q$152</definedName>
    <definedName name="DU_tr">'Схема 2'!$Q$135:$Q$151</definedName>
    <definedName name="DyTr_New">'Схема 2'!$H$88:$H$161</definedName>
    <definedName name="Grafik">'Схема 2'!$B$81:$B$96</definedName>
    <definedName name="GrafikGVS">'Схема 2'!$B$100:$B$107</definedName>
    <definedName name="InterpolCoeff">'Схема 2'!$Q$112:$Q$119</definedName>
    <definedName name="ParamKM_New">'Схема 2'!$L$88:$O$161</definedName>
    <definedName name="ParamPiterflow">'Схема 2'!$B$110:$E$174</definedName>
    <definedName name="TemperGrafik">'Схема 2'!$B$81:$E$96</definedName>
    <definedName name="TemperGrafikGVS">'Схема 2'!$B$100:$E$107</definedName>
    <definedName name="TemperGVS">'Схема 2'!$C$100:$C$107</definedName>
    <definedName name="TypePFlow">'Схема 2'!$S$138:$V$156</definedName>
    <definedName name="Z_AAE00E0F_58A4_431B_A945_2FAABDFF301E_.wvu.Cols" localSheetId="1" hidden="1">'Схема 1'!$G:$AZ</definedName>
    <definedName name="Z_AAE00E0F_58A4_431B_A945_2FAABDFF301E_.wvu.Cols" localSheetId="2" hidden="1">'Схема 2'!$G:$AU</definedName>
    <definedName name="Z_AAE00E0F_58A4_431B_A945_2FAABDFF301E_.wvu.Cols" localSheetId="3" hidden="1">'Схема 3_вариант 1'!$I:$AV</definedName>
    <definedName name="Z_AAE00E0F_58A4_431B_A945_2FAABDFF301E_.wvu.Cols" localSheetId="4" hidden="1">'Схема 3_вариант 2'!$I:$AV</definedName>
    <definedName name="Z_AAE00E0F_58A4_431B_A945_2FAABDFF301E_.wvu.Cols" localSheetId="5" hidden="1">'Схема 4_вариант 1'!$J:$AV</definedName>
    <definedName name="Z_AAE00E0F_58A4_431B_A945_2FAABDFF301E_.wvu.Cols" localSheetId="6" hidden="1">'Схема 4_вариант 2'!$J:$AV</definedName>
    <definedName name="Z_AAE00E0F_58A4_431B_A945_2FAABDFF301E_.wvu.Cols" localSheetId="7" hidden="1">'Схема 5'!$J:$AV</definedName>
    <definedName name="Z_AAE00E0F_58A4_431B_A945_2FAABDFF301E_.wvu.Cols" localSheetId="8" hidden="1">'Схема 6'!$I:$AV</definedName>
    <definedName name="Z_AAE00E0F_58A4_431B_A945_2FAABDFF301E_.wvu.FilterData" localSheetId="2" hidden="1">'Схема 2'!$B$29:$E$33</definedName>
    <definedName name="Z_AAE00E0F_58A4_431B_A945_2FAABDFF301E_.wvu.PrintArea" localSheetId="5" hidden="1">'Схема 4_вариант 1'!$A$1:$F$59</definedName>
    <definedName name="Z_AAE00E0F_58A4_431B_A945_2FAABDFF301E_.wvu.Rows" localSheetId="1" hidden="1">'Схема 1'!$54:$115</definedName>
    <definedName name="Z_AAE00E0F_58A4_431B_A945_2FAABDFF301E_.wvu.Rows" localSheetId="2" hidden="1">'Схема 2'!$54:$167</definedName>
    <definedName name="Z_AAE00E0F_58A4_431B_A945_2FAABDFF301E_.wvu.Rows" localSheetId="3" hidden="1">'Схема 3_вариант 1'!$55:$116</definedName>
    <definedName name="Z_AAE00E0F_58A4_431B_A945_2FAABDFF301E_.wvu.Rows" localSheetId="4" hidden="1">'Схема 3_вариант 2'!$54:$115</definedName>
    <definedName name="Z_AAE00E0F_58A4_431B_A945_2FAABDFF301E_.wvu.Rows" localSheetId="5" hidden="1">'Схема 4_вариант 1'!$54:$115</definedName>
    <definedName name="Z_AAE00E0F_58A4_431B_A945_2FAABDFF301E_.wvu.Rows" localSheetId="6" hidden="1">'Схема 4_вариант 2'!$55:$117</definedName>
    <definedName name="Z_AAE00E0F_58A4_431B_A945_2FAABDFF301E_.wvu.Rows" localSheetId="7" hidden="1">'Схема 5'!$56:$117</definedName>
    <definedName name="Z_AAE00E0F_58A4_431B_A945_2FAABDFF301E_.wvu.Rows" localSheetId="8" hidden="1">'Схема 6'!$54:$116</definedName>
    <definedName name="Метод_подбора">'Схема 1'!$M$16:$M$18</definedName>
    <definedName name="_xlnm.Print_Area" localSheetId="0">Содержание!$A$1:$A$204</definedName>
    <definedName name="_xlnm.Print_Area" localSheetId="1">'Схема 1'!$A$1:$G$54</definedName>
    <definedName name="_xlnm.Print_Area" localSheetId="2">'Схема 2'!$A$1:$F$53</definedName>
    <definedName name="_xlnm.Print_Area" localSheetId="3">'Схема 3_вариант 1'!$A$1:$H$139</definedName>
    <definedName name="_xlnm.Print_Area" localSheetId="4">'Схема 3_вариант 2'!$A$1:$H$54</definedName>
    <definedName name="_xlnm.Print_Area" localSheetId="5">'Схема 4_вариант 1'!$A$1:$I$128</definedName>
    <definedName name="_xlnm.Print_Area" localSheetId="6">'Схема 4_вариант 2'!$A$1:$I$121</definedName>
    <definedName name="_xlnm.Print_Area" localSheetId="7">'Схема 5'!$A$1:$I$56</definedName>
    <definedName name="_xlnm.Print_Area" localSheetId="8">'Схема 6'!$A$1:$H$133</definedName>
  </definedNames>
  <calcPr calcId="191029"/>
  <customWorkbookViews>
    <customWorkbookView name="1 - Личное представление" guid="{AAE00E0F-58A4-431B-A945-2FAABDFF301E}" mergeInterval="0" personalView="1" maximized="1" xWindow="-8" yWindow="-8" windowWidth="1382" windowHeight="744" tabRatio="7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9" i="2" l="1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N158" i="2"/>
  <c r="O158" i="2"/>
  <c r="O159" i="2"/>
  <c r="O160" i="2"/>
  <c r="O161" i="2"/>
  <c r="E42" i="9"/>
  <c r="E43" i="9" s="1"/>
  <c r="E62" i="9"/>
  <c r="G62" i="8"/>
  <c r="E62" i="8"/>
  <c r="D62" i="8"/>
  <c r="H64" i="7"/>
  <c r="G64" i="7"/>
  <c r="E64" i="7"/>
  <c r="D64" i="7"/>
  <c r="H63" i="6"/>
  <c r="G63" i="6"/>
  <c r="E63" i="6"/>
  <c r="D63" i="6"/>
  <c r="H62" i="5"/>
  <c r="G62" i="5"/>
  <c r="E62" i="5"/>
  <c r="D62" i="5"/>
  <c r="G62" i="4"/>
  <c r="E62" i="4"/>
  <c r="D62" i="4"/>
  <c r="G63" i="3"/>
  <c r="E63" i="3"/>
  <c r="D63" i="3"/>
  <c r="E62" i="2"/>
  <c r="D62" i="2"/>
  <c r="AW160" i="2" l="1"/>
  <c r="AW159" i="2"/>
  <c r="AW158" i="2"/>
  <c r="AW157" i="2"/>
  <c r="AW156" i="2"/>
  <c r="AW155" i="2"/>
  <c r="AW154" i="2"/>
  <c r="AV157" i="2"/>
  <c r="AW153" i="2"/>
  <c r="AW152" i="2"/>
  <c r="AW151" i="2"/>
  <c r="AW150" i="2"/>
  <c r="AW149" i="2"/>
  <c r="AW148" i="2"/>
  <c r="AW147" i="2"/>
  <c r="AW146" i="2"/>
  <c r="AW145" i="2"/>
  <c r="AW144" i="2"/>
  <c r="AW143" i="2"/>
  <c r="AW142" i="2"/>
  <c r="AW141" i="2"/>
  <c r="AW140" i="2"/>
  <c r="AW139" i="2"/>
  <c r="AW138" i="2"/>
  <c r="AW137" i="2"/>
  <c r="AW136" i="2"/>
  <c r="AW135" i="2"/>
  <c r="AW134" i="2"/>
  <c r="AW133" i="2"/>
  <c r="AW132" i="2"/>
  <c r="AW131" i="2"/>
  <c r="AW130" i="2"/>
  <c r="AW129" i="2"/>
  <c r="AW128" i="2"/>
  <c r="AW127" i="2"/>
  <c r="AW126" i="2"/>
  <c r="AW125" i="2"/>
  <c r="AW124" i="2"/>
  <c r="AW123" i="2"/>
  <c r="AW122" i="2"/>
  <c r="AW121" i="2"/>
  <c r="AW120" i="2"/>
  <c r="AW119" i="2"/>
  <c r="AW118" i="2"/>
  <c r="AW117" i="2"/>
  <c r="AW116" i="2"/>
  <c r="AW115" i="2"/>
  <c r="AW114" i="2"/>
  <c r="AW113" i="2"/>
  <c r="AW112" i="2"/>
  <c r="AW111" i="2"/>
  <c r="AW110" i="2"/>
  <c r="AW109" i="2"/>
  <c r="AW108" i="2"/>
  <c r="AW107" i="2"/>
  <c r="AW106" i="2"/>
  <c r="AW105" i="2"/>
  <c r="AW103" i="2"/>
  <c r="AW102" i="2"/>
  <c r="AW104" i="2"/>
  <c r="AW101" i="2"/>
  <c r="AW100" i="2"/>
  <c r="AW99" i="2"/>
  <c r="AW98" i="2"/>
  <c r="AW97" i="2"/>
  <c r="AW96" i="2"/>
  <c r="AW95" i="2"/>
  <c r="AW94" i="2"/>
  <c r="AW93" i="2"/>
  <c r="AW92" i="2"/>
  <c r="AW91" i="2"/>
  <c r="AW90" i="2"/>
  <c r="AW89" i="2"/>
  <c r="AW88" i="2"/>
  <c r="M6" i="9" l="1"/>
  <c r="P2" i="9" s="1"/>
  <c r="N4" i="9" s="1"/>
  <c r="M5" i="9"/>
  <c r="M32" i="8"/>
  <c r="P28" i="8" s="1"/>
  <c r="N30" i="8" s="1"/>
  <c r="M31" i="8"/>
  <c r="M19" i="8"/>
  <c r="P15" i="8" s="1"/>
  <c r="N17" i="8" s="1"/>
  <c r="M18" i="8"/>
  <c r="M6" i="8"/>
  <c r="P2" i="8" s="1"/>
  <c r="N4" i="8" s="1"/>
  <c r="M5" i="8"/>
  <c r="M47" i="7"/>
  <c r="P43" i="7" s="1"/>
  <c r="N45" i="7" s="1"/>
  <c r="M46" i="7"/>
  <c r="M34" i="7"/>
  <c r="P30" i="7" s="1"/>
  <c r="N32" i="7" s="1"/>
  <c r="M33" i="7"/>
  <c r="M19" i="7"/>
  <c r="M18" i="7"/>
  <c r="P15" i="7"/>
  <c r="N17" i="7" s="1"/>
  <c r="M6" i="7"/>
  <c r="P2" i="7" s="1"/>
  <c r="N4" i="7" s="1"/>
  <c r="M5" i="7"/>
  <c r="M46" i="6"/>
  <c r="P42" i="6" s="1"/>
  <c r="N44" i="6" s="1"/>
  <c r="M45" i="6"/>
  <c r="M33" i="6"/>
  <c r="P29" i="6" s="1"/>
  <c r="N31" i="6" s="1"/>
  <c r="M32" i="6"/>
  <c r="M19" i="6"/>
  <c r="P15" i="6" s="1"/>
  <c r="N17" i="6" s="1"/>
  <c r="M18" i="6"/>
  <c r="M6" i="6"/>
  <c r="P2" i="6" s="1"/>
  <c r="N4" i="6" s="1"/>
  <c r="M5" i="6"/>
  <c r="M45" i="5"/>
  <c r="P41" i="5"/>
  <c r="N43" i="5" s="1"/>
  <c r="M44" i="5"/>
  <c r="M32" i="5"/>
  <c r="P28" i="5" s="1"/>
  <c r="N30" i="5" s="1"/>
  <c r="M31" i="5"/>
  <c r="M19" i="5"/>
  <c r="P15" i="5" s="1"/>
  <c r="N17" i="5" s="1"/>
  <c r="M18" i="5"/>
  <c r="M6" i="5"/>
  <c r="P2" i="5" s="1"/>
  <c r="N4" i="5" s="1"/>
  <c r="M5" i="5"/>
  <c r="M32" i="4"/>
  <c r="P28" i="4" s="1"/>
  <c r="N30" i="4" s="1"/>
  <c r="M31" i="4"/>
  <c r="M19" i="4"/>
  <c r="P15" i="4" s="1"/>
  <c r="N17" i="4" s="1"/>
  <c r="M18" i="4"/>
  <c r="M6" i="4"/>
  <c r="P2" i="4" s="1"/>
  <c r="N4" i="4" s="1"/>
  <c r="M5" i="4"/>
  <c r="M33" i="3"/>
  <c r="P29" i="3" s="1"/>
  <c r="N31" i="3" s="1"/>
  <c r="M32" i="3"/>
  <c r="M19" i="3"/>
  <c r="P15" i="3" s="1"/>
  <c r="N17" i="3" s="1"/>
  <c r="M18" i="3"/>
  <c r="M6" i="3"/>
  <c r="M5" i="3"/>
  <c r="M19" i="2"/>
  <c r="P15" i="2" s="1"/>
  <c r="N17" i="2" s="1"/>
  <c r="M18" i="2"/>
  <c r="H42" i="5"/>
  <c r="H43" i="5" s="1"/>
  <c r="D69" i="3"/>
  <c r="D71" i="3" s="1"/>
  <c r="G45" i="8"/>
  <c r="G46" i="8" s="1"/>
  <c r="E45" i="8"/>
  <c r="D45" i="8"/>
  <c r="D67" i="8" s="1"/>
  <c r="D69" i="8" s="1"/>
  <c r="H47" i="7"/>
  <c r="H62" i="7" s="1"/>
  <c r="M50" i="7" s="1"/>
  <c r="G47" i="7"/>
  <c r="G44" i="7" s="1"/>
  <c r="E47" i="7"/>
  <c r="E69" i="7" s="1"/>
  <c r="E71" i="7" s="1"/>
  <c r="D47" i="7"/>
  <c r="D62" i="7" s="1"/>
  <c r="M9" i="7" s="1"/>
  <c r="H46" i="6"/>
  <c r="G46" i="6"/>
  <c r="G47" i="6" s="1"/>
  <c r="E46" i="6"/>
  <c r="E47" i="6" s="1"/>
  <c r="D46" i="6"/>
  <c r="D47" i="6" s="1"/>
  <c r="H43" i="6"/>
  <c r="H44" i="6" s="1"/>
  <c r="H45" i="5"/>
  <c r="H67" i="5" s="1"/>
  <c r="H69" i="5" s="1"/>
  <c r="G45" i="5"/>
  <c r="G46" i="5" s="1"/>
  <c r="E45" i="5"/>
  <c r="E60" i="5" s="1"/>
  <c r="M22" i="5" s="1"/>
  <c r="D45" i="5"/>
  <c r="D60" i="5" s="1"/>
  <c r="M9" i="5" s="1"/>
  <c r="D102" i="2"/>
  <c r="D107" i="2"/>
  <c r="D101" i="2"/>
  <c r="D103" i="2"/>
  <c r="D105" i="2"/>
  <c r="D106" i="2"/>
  <c r="D100" i="2"/>
  <c r="D90" i="2"/>
  <c r="D91" i="2"/>
  <c r="D44" i="7" s="1"/>
  <c r="E44" i="7" s="1"/>
  <c r="D93" i="2"/>
  <c r="D94" i="2"/>
  <c r="D96" i="2"/>
  <c r="D89" i="2"/>
  <c r="D82" i="2"/>
  <c r="D83" i="2"/>
  <c r="D43" i="6" s="1"/>
  <c r="D86" i="2"/>
  <c r="D87" i="2"/>
  <c r="D42" i="2" s="1"/>
  <c r="D43" i="2" s="1"/>
  <c r="E43" i="2" s="1"/>
  <c r="D81" i="2"/>
  <c r="D68" i="9"/>
  <c r="D70" i="9" s="1"/>
  <c r="G68" i="8"/>
  <c r="G70" i="8" s="1"/>
  <c r="E68" i="8"/>
  <c r="E70" i="8" s="1"/>
  <c r="D68" i="8"/>
  <c r="D70" i="8" s="1"/>
  <c r="D70" i="7"/>
  <c r="D72" i="7" s="1"/>
  <c r="H70" i="7"/>
  <c r="H72" i="7" s="1"/>
  <c r="G70" i="7"/>
  <c r="G72" i="7" s="1"/>
  <c r="E70" i="7"/>
  <c r="E72" i="7"/>
  <c r="H69" i="6"/>
  <c r="H71" i="6" s="1"/>
  <c r="G69" i="6"/>
  <c r="G71" i="6"/>
  <c r="E69" i="6"/>
  <c r="E71" i="6" s="1"/>
  <c r="D69" i="6"/>
  <c r="D71" i="6" s="1"/>
  <c r="H68" i="5"/>
  <c r="H70" i="5" s="1"/>
  <c r="D68" i="5"/>
  <c r="D70" i="5" s="1"/>
  <c r="G68" i="5"/>
  <c r="G70" i="5" s="1"/>
  <c r="E68" i="5"/>
  <c r="E70" i="5" s="1"/>
  <c r="G68" i="4"/>
  <c r="G70" i="4" s="1"/>
  <c r="E68" i="4"/>
  <c r="E70" i="4" s="1"/>
  <c r="D68" i="4"/>
  <c r="D70" i="4" s="1"/>
  <c r="G69" i="3"/>
  <c r="G71" i="3" s="1"/>
  <c r="E69" i="3"/>
  <c r="E71" i="3" s="1"/>
  <c r="E69" i="2"/>
  <c r="E71" i="2" s="1"/>
  <c r="D69" i="2"/>
  <c r="D71" i="2" s="1"/>
  <c r="G45" i="4"/>
  <c r="G42" i="4" s="1"/>
  <c r="G60" i="4"/>
  <c r="M35" i="4" s="1"/>
  <c r="M6" i="2"/>
  <c r="P2" i="2" s="1"/>
  <c r="N4" i="2" s="1"/>
  <c r="M5" i="2"/>
  <c r="E45" i="4"/>
  <c r="E60" i="4" s="1"/>
  <c r="M22" i="4" s="1"/>
  <c r="D45" i="4"/>
  <c r="D67" i="4" s="1"/>
  <c r="D69" i="4" s="1"/>
  <c r="E46" i="3"/>
  <c r="E68" i="3" s="1"/>
  <c r="E70" i="3" s="1"/>
  <c r="D46" i="3"/>
  <c r="E45" i="2"/>
  <c r="E68" i="2" s="1"/>
  <c r="E70" i="2" s="1"/>
  <c r="D45" i="2"/>
  <c r="D68" i="2" s="1"/>
  <c r="D70" i="2" s="1"/>
  <c r="E45" i="9"/>
  <c r="E60" i="9" s="1"/>
  <c r="M9" i="9" s="1"/>
  <c r="G46" i="3"/>
  <c r="G43" i="3" s="1"/>
  <c r="G44" i="3" s="1"/>
  <c r="G46" i="4"/>
  <c r="G67" i="4"/>
  <c r="G69" i="4" s="1"/>
  <c r="P2" i="3"/>
  <c r="N4" i="3" s="1"/>
  <c r="D42" i="8"/>
  <c r="E42" i="8" s="1"/>
  <c r="E46" i="8"/>
  <c r="E67" i="8"/>
  <c r="E69" i="8" s="1"/>
  <c r="E60" i="8"/>
  <c r="M22" i="8" s="1"/>
  <c r="AT13" i="9" l="1"/>
  <c r="AT12" i="9"/>
  <c r="AT11" i="9"/>
  <c r="AS13" i="9"/>
  <c r="AS12" i="9"/>
  <c r="AS11" i="9"/>
  <c r="AP11" i="8"/>
  <c r="AO11" i="8"/>
  <c r="AO12" i="8"/>
  <c r="AP10" i="8"/>
  <c r="AP12" i="8"/>
  <c r="AO10" i="8"/>
  <c r="AP13" i="8"/>
  <c r="AO13" i="8"/>
  <c r="AP25" i="8"/>
  <c r="AO25" i="8"/>
  <c r="AP26" i="8"/>
  <c r="AP24" i="8"/>
  <c r="AO24" i="8"/>
  <c r="AP23" i="8"/>
  <c r="AO26" i="8"/>
  <c r="AO23" i="8"/>
  <c r="AP39" i="8"/>
  <c r="AO36" i="8"/>
  <c r="AO39" i="8"/>
  <c r="AP38" i="8"/>
  <c r="AO38" i="8"/>
  <c r="AP37" i="8"/>
  <c r="AO37" i="8"/>
  <c r="AP36" i="8"/>
  <c r="AP54" i="7"/>
  <c r="AP51" i="7"/>
  <c r="AP48" i="7"/>
  <c r="AP49" i="7"/>
  <c r="AP50" i="7"/>
  <c r="AP52" i="7"/>
  <c r="AP53" i="7"/>
  <c r="AO54" i="7"/>
  <c r="AO48" i="7"/>
  <c r="AO49" i="7"/>
  <c r="AO50" i="7"/>
  <c r="AO53" i="7"/>
  <c r="AO51" i="7"/>
  <c r="AO52" i="7"/>
  <c r="AP41" i="7"/>
  <c r="AP37" i="7"/>
  <c r="AP38" i="7"/>
  <c r="AP39" i="7"/>
  <c r="AP40" i="7"/>
  <c r="AO41" i="7"/>
  <c r="AO37" i="7"/>
  <c r="AO38" i="7"/>
  <c r="AO39" i="7"/>
  <c r="AO40" i="7"/>
  <c r="AP26" i="7"/>
  <c r="AP23" i="7"/>
  <c r="AP25" i="7"/>
  <c r="AP24" i="7"/>
  <c r="AO26" i="7"/>
  <c r="AO23" i="7"/>
  <c r="AO24" i="7"/>
  <c r="AO25" i="7"/>
  <c r="AP13" i="7"/>
  <c r="AP10" i="7"/>
  <c r="AP11" i="7"/>
  <c r="AP12" i="7"/>
  <c r="AO13" i="7"/>
  <c r="AO12" i="7"/>
  <c r="AO11" i="7"/>
  <c r="AO10" i="7"/>
  <c r="AP53" i="6"/>
  <c r="AP50" i="6"/>
  <c r="AP51" i="6"/>
  <c r="AP52" i="6"/>
  <c r="AO53" i="6"/>
  <c r="AO50" i="6"/>
  <c r="AO51" i="6"/>
  <c r="AO52" i="6"/>
  <c r="AP40" i="6"/>
  <c r="AP38" i="6"/>
  <c r="AP39" i="6"/>
  <c r="AP37" i="6"/>
  <c r="AO39" i="6"/>
  <c r="AO37" i="6"/>
  <c r="AO38" i="6"/>
  <c r="AO40" i="6"/>
  <c r="AP26" i="6"/>
  <c r="AP23" i="6"/>
  <c r="AP24" i="6"/>
  <c r="AP22" i="6"/>
  <c r="AP25" i="6"/>
  <c r="AO26" i="6"/>
  <c r="AO25" i="6"/>
  <c r="AO22" i="6"/>
  <c r="AO23" i="6"/>
  <c r="AO24" i="6"/>
  <c r="AP13" i="6"/>
  <c r="AP9" i="6"/>
  <c r="AP10" i="6"/>
  <c r="AP11" i="6"/>
  <c r="AP12" i="6"/>
  <c r="AO13" i="6"/>
  <c r="AO9" i="6"/>
  <c r="AO10" i="6"/>
  <c r="AO11" i="6"/>
  <c r="AO12" i="6"/>
  <c r="AP52" i="5"/>
  <c r="AP51" i="5"/>
  <c r="AP50" i="5"/>
  <c r="AO52" i="5"/>
  <c r="AO51" i="5"/>
  <c r="AO50" i="5"/>
  <c r="AP39" i="5"/>
  <c r="AP37" i="5"/>
  <c r="AP38" i="5"/>
  <c r="AO39" i="5"/>
  <c r="AO37" i="5"/>
  <c r="AO38" i="5"/>
  <c r="AP26" i="5"/>
  <c r="AP22" i="5"/>
  <c r="AP23" i="5"/>
  <c r="AP24" i="5"/>
  <c r="AP25" i="5"/>
  <c r="AO26" i="5"/>
  <c r="AO22" i="5"/>
  <c r="AO23" i="5"/>
  <c r="AO24" i="5"/>
  <c r="AO25" i="5"/>
  <c r="AP13" i="5"/>
  <c r="AP9" i="5"/>
  <c r="AP10" i="5"/>
  <c r="AP11" i="5"/>
  <c r="AP12" i="5"/>
  <c r="AO9" i="5"/>
  <c r="AO13" i="5"/>
  <c r="AO10" i="5"/>
  <c r="AO11" i="5"/>
  <c r="AO12" i="5"/>
  <c r="S32" i="7"/>
  <c r="S33" i="7"/>
  <c r="S41" i="7"/>
  <c r="S34" i="7"/>
  <c r="S35" i="7"/>
  <c r="S40" i="7"/>
  <c r="S36" i="7"/>
  <c r="S37" i="7"/>
  <c r="S38" i="7"/>
  <c r="S39" i="7"/>
  <c r="S31" i="6"/>
  <c r="S32" i="6"/>
  <c r="S40" i="6"/>
  <c r="S33" i="6"/>
  <c r="S34" i="6"/>
  <c r="S35" i="6"/>
  <c r="S36" i="6"/>
  <c r="S37" i="6"/>
  <c r="S38" i="6"/>
  <c r="S39" i="6"/>
  <c r="S30" i="5"/>
  <c r="S31" i="5"/>
  <c r="S39" i="5"/>
  <c r="S32" i="5"/>
  <c r="S33" i="5"/>
  <c r="S34" i="5"/>
  <c r="S35" i="5"/>
  <c r="S36" i="5"/>
  <c r="S38" i="5"/>
  <c r="S37" i="5"/>
  <c r="Y37" i="5"/>
  <c r="Y39" i="5"/>
  <c r="Y38" i="5"/>
  <c r="X37" i="5"/>
  <c r="X38" i="5"/>
  <c r="X39" i="5"/>
  <c r="W38" i="5"/>
  <c r="W39" i="5"/>
  <c r="W37" i="5"/>
  <c r="AO40" i="3"/>
  <c r="AO36" i="3"/>
  <c r="AO37" i="3"/>
  <c r="AO38" i="3"/>
  <c r="AO39" i="3"/>
  <c r="AP26" i="3"/>
  <c r="AP23" i="3"/>
  <c r="AP24" i="3"/>
  <c r="AP25" i="3"/>
  <c r="AO26" i="3"/>
  <c r="AO25" i="3"/>
  <c r="AO23" i="3"/>
  <c r="AO24" i="3"/>
  <c r="AP13" i="3"/>
  <c r="AP10" i="3"/>
  <c r="AP11" i="3"/>
  <c r="AP12" i="3"/>
  <c r="AO13" i="3"/>
  <c r="AO10" i="3"/>
  <c r="AO11" i="3"/>
  <c r="AO12" i="3"/>
  <c r="AP26" i="2"/>
  <c r="AP25" i="2"/>
  <c r="AP23" i="2"/>
  <c r="AP24" i="2"/>
  <c r="AO26" i="2"/>
  <c r="AO23" i="2"/>
  <c r="AO24" i="2"/>
  <c r="AO25" i="2"/>
  <c r="AP13" i="2"/>
  <c r="AP10" i="2"/>
  <c r="AP11" i="2"/>
  <c r="AP12" i="2"/>
  <c r="AO13" i="2"/>
  <c r="AO12" i="2"/>
  <c r="AO10" i="2"/>
  <c r="AO11" i="2"/>
  <c r="AP26" i="4"/>
  <c r="AP22" i="4"/>
  <c r="AP23" i="4"/>
  <c r="AP24" i="4"/>
  <c r="AP25" i="4"/>
  <c r="AO26" i="4"/>
  <c r="AO22" i="4"/>
  <c r="AO23" i="4"/>
  <c r="AO24" i="4"/>
  <c r="AO25" i="4"/>
  <c r="AP13" i="4"/>
  <c r="AP9" i="4"/>
  <c r="AP10" i="4"/>
  <c r="AP11" i="4"/>
  <c r="AP12" i="4"/>
  <c r="AO13" i="4"/>
  <c r="AO9" i="4"/>
  <c r="AO10" i="4"/>
  <c r="AO11" i="4"/>
  <c r="AO12" i="4"/>
  <c r="AP39" i="4"/>
  <c r="AP35" i="4"/>
  <c r="AP36" i="4"/>
  <c r="AP37" i="4"/>
  <c r="AP38" i="4"/>
  <c r="AO39" i="4"/>
  <c r="AO35" i="4"/>
  <c r="AO36" i="4"/>
  <c r="AO37" i="4"/>
  <c r="AO38" i="4"/>
  <c r="AP40" i="3"/>
  <c r="AP36" i="3"/>
  <c r="AP37" i="3"/>
  <c r="AP38" i="3"/>
  <c r="AP39" i="3"/>
  <c r="G68" i="6"/>
  <c r="G70" i="6" s="1"/>
  <c r="E68" i="6"/>
  <c r="E70" i="6" s="1"/>
  <c r="I101" i="6" s="1"/>
  <c r="E61" i="6"/>
  <c r="M22" i="6" s="1"/>
  <c r="G68" i="3"/>
  <c r="G70" i="3" s="1"/>
  <c r="J91" i="3" s="1"/>
  <c r="AM13" i="9"/>
  <c r="AM12" i="9"/>
  <c r="AM11" i="9"/>
  <c r="AN13" i="9"/>
  <c r="AN11" i="9"/>
  <c r="AN12" i="9"/>
  <c r="AO13" i="9"/>
  <c r="AO12" i="9"/>
  <c r="AO11" i="9"/>
  <c r="AQ13" i="9"/>
  <c r="AQ12" i="9"/>
  <c r="AQ11" i="9"/>
  <c r="AP13" i="9"/>
  <c r="AP12" i="9"/>
  <c r="AP11" i="9"/>
  <c r="D42" i="4"/>
  <c r="E42" i="4" s="1"/>
  <c r="G43" i="6"/>
  <c r="G44" i="6" s="1"/>
  <c r="G49" i="6" s="1"/>
  <c r="M35" i="6" s="1"/>
  <c r="I108" i="8"/>
  <c r="AR13" i="9"/>
  <c r="AR11" i="9"/>
  <c r="AR12" i="9"/>
  <c r="AK13" i="9"/>
  <c r="AK11" i="9"/>
  <c r="AK12" i="9"/>
  <c r="AJ13" i="9"/>
  <c r="AJ12" i="9"/>
  <c r="AJ11" i="9"/>
  <c r="AI13" i="9"/>
  <c r="AI11" i="9"/>
  <c r="AI12" i="9"/>
  <c r="I95" i="8"/>
  <c r="AN26" i="5"/>
  <c r="AL13" i="9"/>
  <c r="AL11" i="9"/>
  <c r="AL12" i="9"/>
  <c r="AG13" i="9"/>
  <c r="AG11" i="9"/>
  <c r="AG12" i="9"/>
  <c r="AH13" i="9"/>
  <c r="AH12" i="9"/>
  <c r="AH11" i="9"/>
  <c r="AA13" i="9"/>
  <c r="AA12" i="9"/>
  <c r="AA11" i="9"/>
  <c r="Z13" i="9"/>
  <c r="Z12" i="9"/>
  <c r="Z11" i="9"/>
  <c r="AN12" i="8"/>
  <c r="AN10" i="8"/>
  <c r="AN13" i="8"/>
  <c r="AN11" i="8"/>
  <c r="AJ13" i="8"/>
  <c r="AJ10" i="8"/>
  <c r="AJ11" i="8"/>
  <c r="AJ12" i="8"/>
  <c r="AI13" i="8"/>
  <c r="AI11" i="8"/>
  <c r="AI10" i="8"/>
  <c r="AI12" i="8"/>
  <c r="AH13" i="8"/>
  <c r="AH12" i="8"/>
  <c r="AH11" i="8"/>
  <c r="AH10" i="8"/>
  <c r="AG13" i="8"/>
  <c r="AG10" i="8"/>
  <c r="AG11" i="8"/>
  <c r="AG12" i="8"/>
  <c r="AN26" i="8"/>
  <c r="AN23" i="8"/>
  <c r="AN24" i="8"/>
  <c r="AN25" i="8"/>
  <c r="AJ26" i="8"/>
  <c r="AJ23" i="8"/>
  <c r="AJ24" i="8"/>
  <c r="AJ25" i="8"/>
  <c r="AI26" i="8"/>
  <c r="AI25" i="8"/>
  <c r="AI24" i="8"/>
  <c r="AI23" i="8"/>
  <c r="AH26" i="8"/>
  <c r="AH23" i="8"/>
  <c r="AH24" i="8"/>
  <c r="AH25" i="8"/>
  <c r="AG26" i="8"/>
  <c r="AG23" i="8"/>
  <c r="AG25" i="8"/>
  <c r="AG24" i="8"/>
  <c r="AN39" i="8"/>
  <c r="AN37" i="8"/>
  <c r="AN38" i="8"/>
  <c r="AN36" i="8"/>
  <c r="AJ39" i="8"/>
  <c r="AJ36" i="8"/>
  <c r="AJ37" i="8"/>
  <c r="AJ38" i="8"/>
  <c r="AI39" i="8"/>
  <c r="AI38" i="8"/>
  <c r="AI36" i="8"/>
  <c r="AI37" i="8"/>
  <c r="AH39" i="8"/>
  <c r="AH37" i="8"/>
  <c r="AH38" i="8"/>
  <c r="AH36" i="8"/>
  <c r="AG39" i="8"/>
  <c r="AG38" i="8"/>
  <c r="AG36" i="8"/>
  <c r="AG37" i="8"/>
  <c r="AA39" i="8"/>
  <c r="AA38" i="8"/>
  <c r="AA36" i="8"/>
  <c r="AA37" i="8"/>
  <c r="AA26" i="8"/>
  <c r="AA25" i="8"/>
  <c r="AA23" i="8"/>
  <c r="AA24" i="8"/>
  <c r="AA13" i="8"/>
  <c r="AA12" i="8"/>
  <c r="AA11" i="8"/>
  <c r="AA10" i="8"/>
  <c r="Z39" i="8"/>
  <c r="Z36" i="8"/>
  <c r="Z37" i="8"/>
  <c r="Z38" i="8"/>
  <c r="R39" i="8"/>
  <c r="V39" i="8" s="1"/>
  <c r="Z26" i="8"/>
  <c r="Z24" i="8"/>
  <c r="Z23" i="8"/>
  <c r="Z25" i="8"/>
  <c r="S23" i="8"/>
  <c r="Z13" i="8"/>
  <c r="Z12" i="8"/>
  <c r="Z10" i="8"/>
  <c r="Z11" i="8"/>
  <c r="P13" i="8"/>
  <c r="AN54" i="7"/>
  <c r="AN51" i="7"/>
  <c r="AN48" i="7"/>
  <c r="AN53" i="7"/>
  <c r="AN49" i="7"/>
  <c r="AN50" i="7"/>
  <c r="AN52" i="7"/>
  <c r="AJ54" i="7"/>
  <c r="AJ48" i="7"/>
  <c r="AJ49" i="7"/>
  <c r="AJ50" i="7"/>
  <c r="AJ51" i="7"/>
  <c r="AJ52" i="7"/>
  <c r="AJ53" i="7"/>
  <c r="AI54" i="7"/>
  <c r="AI48" i="7"/>
  <c r="AI53" i="7"/>
  <c r="AI49" i="7"/>
  <c r="AI50" i="7"/>
  <c r="AI51" i="7"/>
  <c r="AI52" i="7"/>
  <c r="AH54" i="7"/>
  <c r="AH48" i="7"/>
  <c r="AH53" i="7"/>
  <c r="AH49" i="7"/>
  <c r="AH50" i="7"/>
  <c r="AH51" i="7"/>
  <c r="AH52" i="7"/>
  <c r="AG54" i="7"/>
  <c r="AG48" i="7"/>
  <c r="AG49" i="7"/>
  <c r="AG50" i="7"/>
  <c r="AG51" i="7"/>
  <c r="AG52" i="7"/>
  <c r="AG53" i="7"/>
  <c r="AN41" i="7"/>
  <c r="AN40" i="7"/>
  <c r="AN37" i="7"/>
  <c r="AN38" i="7"/>
  <c r="AN39" i="7"/>
  <c r="AJ41" i="7"/>
  <c r="AJ38" i="7"/>
  <c r="AJ37" i="7"/>
  <c r="AJ39" i="7"/>
  <c r="AJ40" i="7"/>
  <c r="AI41" i="7"/>
  <c r="AI37" i="7"/>
  <c r="AI38" i="7"/>
  <c r="AI39" i="7"/>
  <c r="AI40" i="7"/>
  <c r="AH41" i="7"/>
  <c r="AH37" i="7"/>
  <c r="AH38" i="7"/>
  <c r="AH40" i="7"/>
  <c r="AH39" i="7"/>
  <c r="AG41" i="7"/>
  <c r="AG39" i="7"/>
  <c r="AG37" i="7"/>
  <c r="AG40" i="7"/>
  <c r="AG38" i="7"/>
  <c r="AN26" i="7"/>
  <c r="AN24" i="7"/>
  <c r="AN25" i="7"/>
  <c r="AN23" i="7"/>
  <c r="AJ26" i="7"/>
  <c r="AJ23" i="7"/>
  <c r="AJ24" i="7"/>
  <c r="AJ25" i="7"/>
  <c r="AI26" i="7"/>
  <c r="AI25" i="7"/>
  <c r="AI24" i="7"/>
  <c r="AI23" i="7"/>
  <c r="AH26" i="7"/>
  <c r="AH23" i="7"/>
  <c r="AH24" i="7"/>
  <c r="AH25" i="7"/>
  <c r="AG26" i="7"/>
  <c r="AG24" i="7"/>
  <c r="AG25" i="7"/>
  <c r="AG23" i="7"/>
  <c r="AJ13" i="7"/>
  <c r="AJ10" i="7"/>
  <c r="AJ12" i="7"/>
  <c r="AJ11" i="7"/>
  <c r="AN13" i="7"/>
  <c r="AN10" i="7"/>
  <c r="AN11" i="7"/>
  <c r="AN12" i="7"/>
  <c r="AI13" i="7"/>
  <c r="AI11" i="7"/>
  <c r="AI10" i="7"/>
  <c r="AI12" i="7"/>
  <c r="AH13" i="7"/>
  <c r="AH10" i="7"/>
  <c r="AH11" i="7"/>
  <c r="AH12" i="7"/>
  <c r="AG13" i="7"/>
  <c r="AG10" i="7"/>
  <c r="AG11" i="7"/>
  <c r="AG12" i="7"/>
  <c r="AA54" i="7"/>
  <c r="AA48" i="7"/>
  <c r="AA49" i="7"/>
  <c r="AA50" i="7"/>
  <c r="AA53" i="7"/>
  <c r="AA51" i="7"/>
  <c r="AA52" i="7"/>
  <c r="AA41" i="7"/>
  <c r="AA37" i="7"/>
  <c r="AA38" i="7"/>
  <c r="AA39" i="7"/>
  <c r="AA40" i="7"/>
  <c r="AA26" i="7"/>
  <c r="AA23" i="7"/>
  <c r="AA24" i="7"/>
  <c r="AA25" i="7"/>
  <c r="AA13" i="7"/>
  <c r="AA10" i="7"/>
  <c r="AA11" i="7"/>
  <c r="AA12" i="7"/>
  <c r="Z54" i="7"/>
  <c r="Z48" i="7"/>
  <c r="Z49" i="7"/>
  <c r="Z50" i="7"/>
  <c r="Z51" i="7"/>
  <c r="Z52" i="7"/>
  <c r="Z53" i="7"/>
  <c r="V49" i="7"/>
  <c r="Z41" i="7"/>
  <c r="Z39" i="7"/>
  <c r="Z40" i="7"/>
  <c r="Z37" i="7"/>
  <c r="Z38" i="7"/>
  <c r="Z26" i="7"/>
  <c r="Z23" i="7"/>
  <c r="Z24" i="7"/>
  <c r="Z25" i="7"/>
  <c r="Z13" i="7"/>
  <c r="Z10" i="7"/>
  <c r="Z11" i="7"/>
  <c r="Z12" i="7"/>
  <c r="R5" i="7"/>
  <c r="V5" i="7" s="1"/>
  <c r="AN53" i="6"/>
  <c r="AN50" i="6"/>
  <c r="AN51" i="6"/>
  <c r="AN52" i="6"/>
  <c r="AJ53" i="6"/>
  <c r="AJ50" i="6"/>
  <c r="AJ51" i="6"/>
  <c r="AJ52" i="6"/>
  <c r="AI53" i="6"/>
  <c r="AI50" i="6"/>
  <c r="AI51" i="6"/>
  <c r="AI52" i="6"/>
  <c r="AH53" i="6"/>
  <c r="AH50" i="6"/>
  <c r="AH51" i="6"/>
  <c r="AH52" i="6"/>
  <c r="AG53" i="6"/>
  <c r="AG50" i="6"/>
  <c r="AG51" i="6"/>
  <c r="AG52" i="6"/>
  <c r="AN40" i="6"/>
  <c r="AN37" i="6"/>
  <c r="AN38" i="6"/>
  <c r="AN39" i="6"/>
  <c r="AJ40" i="6"/>
  <c r="AJ38" i="6"/>
  <c r="AJ37" i="6"/>
  <c r="AJ39" i="6"/>
  <c r="AI40" i="6"/>
  <c r="AI39" i="6"/>
  <c r="AI38" i="6"/>
  <c r="AI37" i="6"/>
  <c r="AH40" i="6"/>
  <c r="AH37" i="6"/>
  <c r="AH38" i="6"/>
  <c r="AH39" i="6"/>
  <c r="AG40" i="6"/>
  <c r="AG37" i="6"/>
  <c r="AG38" i="6"/>
  <c r="AG39" i="6"/>
  <c r="AJ26" i="6"/>
  <c r="AJ22" i="6"/>
  <c r="AJ23" i="6"/>
  <c r="AJ24" i="6"/>
  <c r="AJ25" i="6"/>
  <c r="AN26" i="6"/>
  <c r="AN22" i="6"/>
  <c r="AN23" i="6"/>
  <c r="AN24" i="6"/>
  <c r="AN25" i="6"/>
  <c r="AI26" i="6"/>
  <c r="AI22" i="6"/>
  <c r="AI23" i="6"/>
  <c r="AI24" i="6"/>
  <c r="AI25" i="6"/>
  <c r="AH26" i="6"/>
  <c r="AH22" i="6"/>
  <c r="AH23" i="6"/>
  <c r="AH24" i="6"/>
  <c r="AH25" i="6"/>
  <c r="AG26" i="6"/>
  <c r="AG22" i="6"/>
  <c r="AG24" i="6"/>
  <c r="AG25" i="6"/>
  <c r="AG23" i="6"/>
  <c r="AN13" i="6"/>
  <c r="AN9" i="6"/>
  <c r="AN10" i="6"/>
  <c r="AN11" i="6"/>
  <c r="AN12" i="6"/>
  <c r="AJ13" i="6"/>
  <c r="AJ9" i="6"/>
  <c r="AJ10" i="6"/>
  <c r="AJ11" i="6"/>
  <c r="AJ12" i="6"/>
  <c r="AI13" i="6"/>
  <c r="AI12" i="6"/>
  <c r="AI9" i="6"/>
  <c r="AI11" i="6"/>
  <c r="AI10" i="6"/>
  <c r="AH13" i="6"/>
  <c r="AH9" i="6"/>
  <c r="AH10" i="6"/>
  <c r="AH11" i="6"/>
  <c r="AH12" i="6"/>
  <c r="AG13" i="6"/>
  <c r="AG9" i="6"/>
  <c r="AG10" i="6"/>
  <c r="AG11" i="6"/>
  <c r="AG12" i="6"/>
  <c r="AA53" i="6"/>
  <c r="AA50" i="6"/>
  <c r="AA51" i="6"/>
  <c r="AA52" i="6"/>
  <c r="AA40" i="6"/>
  <c r="AA37" i="6"/>
  <c r="AA38" i="6"/>
  <c r="AA39" i="6"/>
  <c r="AA26" i="6"/>
  <c r="AA22" i="6"/>
  <c r="AA23" i="6"/>
  <c r="AA24" i="6"/>
  <c r="AA25" i="6"/>
  <c r="AA13" i="6"/>
  <c r="AA9" i="6"/>
  <c r="AA11" i="6"/>
  <c r="AA10" i="6"/>
  <c r="AA12" i="6"/>
  <c r="Z53" i="6"/>
  <c r="Z50" i="6"/>
  <c r="Z51" i="6"/>
  <c r="Z52" i="6"/>
  <c r="Z40" i="6"/>
  <c r="Z37" i="6"/>
  <c r="Z38" i="6"/>
  <c r="Z39" i="6"/>
  <c r="R38" i="6"/>
  <c r="V38" i="6" s="1"/>
  <c r="Z26" i="6"/>
  <c r="Z22" i="6"/>
  <c r="Z23" i="6"/>
  <c r="Z24" i="6"/>
  <c r="Z25" i="6"/>
  <c r="Q25" i="6"/>
  <c r="Z13" i="6"/>
  <c r="Z9" i="6"/>
  <c r="Z10" i="6"/>
  <c r="Z11" i="6"/>
  <c r="Z12" i="6"/>
  <c r="AN52" i="5"/>
  <c r="AN50" i="5"/>
  <c r="AN51" i="5"/>
  <c r="AJ52" i="5"/>
  <c r="AJ50" i="5"/>
  <c r="AJ51" i="5"/>
  <c r="AI52" i="5"/>
  <c r="AI50" i="5"/>
  <c r="AI51" i="5"/>
  <c r="AH52" i="5"/>
  <c r="AH50" i="5"/>
  <c r="AH51" i="5"/>
  <c r="AG52" i="5"/>
  <c r="AG50" i="5"/>
  <c r="AG51" i="5"/>
  <c r="AN39" i="5"/>
  <c r="AN37" i="5"/>
  <c r="AN38" i="5"/>
  <c r="AJ39" i="5"/>
  <c r="AJ37" i="5"/>
  <c r="AJ38" i="5"/>
  <c r="AI39" i="5"/>
  <c r="AI37" i="5"/>
  <c r="AI38" i="5"/>
  <c r="AH39" i="5"/>
  <c r="AH37" i="5"/>
  <c r="AH38" i="5"/>
  <c r="AG39" i="5"/>
  <c r="AG37" i="5"/>
  <c r="AG38" i="5"/>
  <c r="AN22" i="5"/>
  <c r="AN25" i="5"/>
  <c r="AN23" i="5"/>
  <c r="AN24" i="5"/>
  <c r="AJ26" i="5"/>
  <c r="AJ23" i="5"/>
  <c r="AJ22" i="5"/>
  <c r="AJ24" i="5"/>
  <c r="AJ25" i="5"/>
  <c r="AI26" i="5"/>
  <c r="AI25" i="5"/>
  <c r="AI22" i="5"/>
  <c r="AI24" i="5"/>
  <c r="AI23" i="5"/>
  <c r="AH26" i="5"/>
  <c r="AH22" i="5"/>
  <c r="AH23" i="5"/>
  <c r="AH24" i="5"/>
  <c r="AH25" i="5"/>
  <c r="AG26" i="5"/>
  <c r="AG22" i="5"/>
  <c r="AG23" i="5"/>
  <c r="AG24" i="5"/>
  <c r="AG25" i="5"/>
  <c r="AN13" i="5"/>
  <c r="AN10" i="5"/>
  <c r="AN11" i="5"/>
  <c r="AN12" i="5"/>
  <c r="AJ13" i="5"/>
  <c r="AJ10" i="5"/>
  <c r="AJ11" i="5"/>
  <c r="AJ12" i="5"/>
  <c r="AI13" i="5"/>
  <c r="AI12" i="5"/>
  <c r="AI10" i="5"/>
  <c r="AI11" i="5"/>
  <c r="AH13" i="5"/>
  <c r="AH10" i="5"/>
  <c r="AH11" i="5"/>
  <c r="AH12" i="5"/>
  <c r="AG13" i="5"/>
  <c r="AG10" i="5"/>
  <c r="AG11" i="5"/>
  <c r="AG12" i="5"/>
  <c r="AA52" i="5"/>
  <c r="AA50" i="5"/>
  <c r="AA51" i="5"/>
  <c r="AA39" i="5"/>
  <c r="AA37" i="5"/>
  <c r="AA38" i="5"/>
  <c r="AA22" i="5"/>
  <c r="AA23" i="5"/>
  <c r="AA24" i="5"/>
  <c r="AA25" i="5"/>
  <c r="AA26" i="5"/>
  <c r="Z52" i="5"/>
  <c r="Z51" i="5"/>
  <c r="Z50" i="5"/>
  <c r="Z39" i="5"/>
  <c r="Z37" i="5"/>
  <c r="Z38" i="5"/>
  <c r="P31" i="5"/>
  <c r="Z26" i="5"/>
  <c r="Z22" i="5"/>
  <c r="Z23" i="5"/>
  <c r="Z24" i="5"/>
  <c r="Z25" i="5"/>
  <c r="S20" i="5"/>
  <c r="AA13" i="5"/>
  <c r="AA10" i="5"/>
  <c r="AA11" i="5"/>
  <c r="AA12" i="5"/>
  <c r="Z13" i="5"/>
  <c r="Z11" i="5"/>
  <c r="Z12" i="5"/>
  <c r="Z10" i="5"/>
  <c r="AN26" i="4"/>
  <c r="AN22" i="4"/>
  <c r="AN23" i="4"/>
  <c r="AN24" i="4"/>
  <c r="AN25" i="4"/>
  <c r="AJ13" i="4"/>
  <c r="AJ9" i="4"/>
  <c r="AJ10" i="4"/>
  <c r="AJ11" i="4"/>
  <c r="AJ12" i="4"/>
  <c r="AI13" i="4"/>
  <c r="AI12" i="4"/>
  <c r="AI9" i="4"/>
  <c r="AI11" i="4"/>
  <c r="AI10" i="4"/>
  <c r="AH13" i="4"/>
  <c r="AH11" i="4"/>
  <c r="AH9" i="4"/>
  <c r="AH10" i="4"/>
  <c r="AH12" i="4"/>
  <c r="AG13" i="4"/>
  <c r="AG9" i="4"/>
  <c r="AG10" i="4"/>
  <c r="AG11" i="4"/>
  <c r="AG12" i="4"/>
  <c r="AN13" i="4"/>
  <c r="AN9" i="4"/>
  <c r="AN10" i="4"/>
  <c r="AN11" i="4"/>
  <c r="AN12" i="4"/>
  <c r="AJ26" i="4"/>
  <c r="AJ22" i="4"/>
  <c r="AJ23" i="4"/>
  <c r="AJ24" i="4"/>
  <c r="AJ25" i="4"/>
  <c r="AI26" i="4"/>
  <c r="AI25" i="4"/>
  <c r="AI22" i="4"/>
  <c r="AI23" i="4"/>
  <c r="AI24" i="4"/>
  <c r="AH26" i="4"/>
  <c r="AH22" i="4"/>
  <c r="AH23" i="4"/>
  <c r="AH24" i="4"/>
  <c r="AH25" i="4"/>
  <c r="AG26" i="4"/>
  <c r="AG22" i="4"/>
  <c r="AG23" i="4"/>
  <c r="AG24" i="4"/>
  <c r="AG25" i="4"/>
  <c r="AN39" i="4"/>
  <c r="AN35" i="4"/>
  <c r="AN36" i="4"/>
  <c r="AN37" i="4"/>
  <c r="AN38" i="4"/>
  <c r="AJ39" i="4"/>
  <c r="AJ35" i="4"/>
  <c r="AJ36" i="4"/>
  <c r="AJ37" i="4"/>
  <c r="AJ38" i="4"/>
  <c r="AI39" i="4"/>
  <c r="AI35" i="4"/>
  <c r="AI36" i="4"/>
  <c r="AI37" i="4"/>
  <c r="AI38" i="4"/>
  <c r="AH39" i="4"/>
  <c r="AH35" i="4"/>
  <c r="AH36" i="4"/>
  <c r="AH37" i="4"/>
  <c r="AH38" i="4"/>
  <c r="AG39" i="4"/>
  <c r="AG35" i="4"/>
  <c r="AG36" i="4"/>
  <c r="AG37" i="4"/>
  <c r="AG38" i="4"/>
  <c r="AA39" i="4"/>
  <c r="AA35" i="4"/>
  <c r="AA36" i="4"/>
  <c r="AA37" i="4"/>
  <c r="AA38" i="4"/>
  <c r="Z39" i="4"/>
  <c r="Z35" i="4"/>
  <c r="Z36" i="4"/>
  <c r="Z37" i="4"/>
  <c r="Z38" i="4"/>
  <c r="R38" i="4"/>
  <c r="AA26" i="4"/>
  <c r="AA22" i="4"/>
  <c r="AA23" i="4"/>
  <c r="AA24" i="4"/>
  <c r="AA25" i="4"/>
  <c r="Z26" i="4"/>
  <c r="Z22" i="4"/>
  <c r="Z24" i="4"/>
  <c r="Z23" i="4"/>
  <c r="Z25" i="4"/>
  <c r="AA13" i="4"/>
  <c r="AA9" i="4"/>
  <c r="AA10" i="4"/>
  <c r="AA11" i="4"/>
  <c r="AA12" i="4"/>
  <c r="Z9" i="4"/>
  <c r="Z10" i="4"/>
  <c r="Z13" i="4"/>
  <c r="Z11" i="4"/>
  <c r="Z12" i="4"/>
  <c r="AN36" i="3"/>
  <c r="AN37" i="3"/>
  <c r="AN38" i="3"/>
  <c r="AN40" i="3"/>
  <c r="AN39" i="3"/>
  <c r="AJ40" i="3"/>
  <c r="AJ36" i="3"/>
  <c r="AJ37" i="3"/>
  <c r="AJ38" i="3"/>
  <c r="AJ39" i="3"/>
  <c r="AI40" i="3"/>
  <c r="AI36" i="3"/>
  <c r="AI37" i="3"/>
  <c r="AI38" i="3"/>
  <c r="AI39" i="3"/>
  <c r="AH40" i="3"/>
  <c r="AH36" i="3"/>
  <c r="AH37" i="3"/>
  <c r="AH38" i="3"/>
  <c r="AH39" i="3"/>
  <c r="AG40" i="3"/>
  <c r="AG36" i="3"/>
  <c r="AG37" i="3"/>
  <c r="AG38" i="3"/>
  <c r="AG39" i="3"/>
  <c r="AN26" i="3"/>
  <c r="AN23" i="3"/>
  <c r="AN24" i="3"/>
  <c r="AN25" i="3"/>
  <c r="AJ26" i="3"/>
  <c r="AJ23" i="3"/>
  <c r="AJ24" i="3"/>
  <c r="AJ25" i="3"/>
  <c r="AI26" i="3"/>
  <c r="AI23" i="3"/>
  <c r="AI24" i="3"/>
  <c r="AI25" i="3"/>
  <c r="AH26" i="3"/>
  <c r="AH23" i="3"/>
  <c r="AH24" i="3"/>
  <c r="AH25" i="3"/>
  <c r="AG26" i="3"/>
  <c r="AG23" i="3"/>
  <c r="AG24" i="3"/>
  <c r="AG25" i="3"/>
  <c r="AA40" i="3"/>
  <c r="AA36" i="3"/>
  <c r="AA37" i="3"/>
  <c r="AA38" i="3"/>
  <c r="AA39" i="3"/>
  <c r="Z40" i="3"/>
  <c r="Z36" i="3"/>
  <c r="Z37" i="3"/>
  <c r="Z38" i="3"/>
  <c r="Z39" i="3"/>
  <c r="AA26" i="3"/>
  <c r="AA23" i="3"/>
  <c r="AA24" i="3"/>
  <c r="AA25" i="3"/>
  <c r="Z26" i="3"/>
  <c r="Z25" i="3"/>
  <c r="Z23" i="3"/>
  <c r="Z24" i="3"/>
  <c r="AN13" i="3"/>
  <c r="AN10" i="3"/>
  <c r="AN11" i="3"/>
  <c r="AN12" i="3"/>
  <c r="AJ13" i="3"/>
  <c r="AJ10" i="3"/>
  <c r="AJ11" i="3"/>
  <c r="AJ12" i="3"/>
  <c r="AI13" i="3"/>
  <c r="AI12" i="3"/>
  <c r="AI11" i="3"/>
  <c r="AI10" i="3"/>
  <c r="AH13" i="3"/>
  <c r="AH10" i="3"/>
  <c r="AH11" i="3"/>
  <c r="AH12" i="3"/>
  <c r="AG13" i="3"/>
  <c r="AG10" i="3"/>
  <c r="AG11" i="3"/>
  <c r="AG12" i="3"/>
  <c r="AA13" i="3"/>
  <c r="AA10" i="3"/>
  <c r="AA11" i="3"/>
  <c r="AA12" i="3"/>
  <c r="Z13" i="3"/>
  <c r="Z11" i="3"/>
  <c r="Z10" i="3"/>
  <c r="Z12" i="3"/>
  <c r="R5" i="3"/>
  <c r="V5" i="3" s="1"/>
  <c r="P17" i="2"/>
  <c r="AA24" i="2"/>
  <c r="AA25" i="2"/>
  <c r="AH25" i="2"/>
  <c r="Y25" i="2"/>
  <c r="R23" i="2"/>
  <c r="V23" i="2" s="1"/>
  <c r="S25" i="2"/>
  <c r="P20" i="2"/>
  <c r="Q25" i="2"/>
  <c r="AL26" i="2"/>
  <c r="P23" i="2"/>
  <c r="Y24" i="2"/>
  <c r="P22" i="2"/>
  <c r="AH24" i="2"/>
  <c r="AG26" i="2"/>
  <c r="S24" i="2"/>
  <c r="R22" i="2"/>
  <c r="R26" i="2"/>
  <c r="AL24" i="2"/>
  <c r="AB24" i="2"/>
  <c r="AD26" i="2"/>
  <c r="AK26" i="2"/>
  <c r="Q24" i="2"/>
  <c r="R20" i="2"/>
  <c r="Q22" i="2"/>
  <c r="AA22" i="2" s="1"/>
  <c r="S21" i="2"/>
  <c r="AN25" i="2"/>
  <c r="AB26" i="2"/>
  <c r="S26" i="2"/>
  <c r="AK25" i="2"/>
  <c r="AD24" i="2"/>
  <c r="Y26" i="2"/>
  <c r="T24" i="2"/>
  <c r="U26" i="2"/>
  <c r="AC26" i="2"/>
  <c r="R18" i="2"/>
  <c r="S19" i="2"/>
  <c r="R19" i="2"/>
  <c r="Z26" i="2"/>
  <c r="AN24" i="2"/>
  <c r="AJ26" i="2"/>
  <c r="AD25" i="2"/>
  <c r="U25" i="2"/>
  <c r="P21" i="2"/>
  <c r="AC25" i="2"/>
  <c r="V24" i="2"/>
  <c r="P26" i="2"/>
  <c r="AF25" i="2"/>
  <c r="T26" i="2"/>
  <c r="S22" i="2"/>
  <c r="R17" i="2"/>
  <c r="V17" i="2" s="1"/>
  <c r="Q17" i="2"/>
  <c r="AJ17" i="2" s="1"/>
  <c r="AA26" i="2"/>
  <c r="AI25" i="2"/>
  <c r="AH26" i="2"/>
  <c r="X24" i="2"/>
  <c r="P24" i="2"/>
  <c r="AL25" i="2"/>
  <c r="T25" i="2"/>
  <c r="S20" i="2"/>
  <c r="R25" i="2"/>
  <c r="P19" i="2"/>
  <c r="X25" i="2"/>
  <c r="AM25" i="2"/>
  <c r="Q21" i="2"/>
  <c r="AG21" i="2" s="1"/>
  <c r="Q20" i="2"/>
  <c r="AH20" i="2" s="1"/>
  <c r="AI26" i="2"/>
  <c r="AM26" i="2"/>
  <c r="AB25" i="2"/>
  <c r="S17" i="2"/>
  <c r="Z25" i="2"/>
  <c r="AJ24" i="2"/>
  <c r="AI24" i="2"/>
  <c r="AG25" i="2"/>
  <c r="AF24" i="2"/>
  <c r="AM24" i="2"/>
  <c r="AK24" i="2"/>
  <c r="AF26" i="2"/>
  <c r="S23" i="2"/>
  <c r="AE25" i="2"/>
  <c r="Q18" i="2"/>
  <c r="AG18" i="2" s="1"/>
  <c r="R21" i="2"/>
  <c r="S18" i="2"/>
  <c r="Z24" i="2"/>
  <c r="AN26" i="2"/>
  <c r="AG24" i="2"/>
  <c r="W26" i="2"/>
  <c r="AE24" i="2"/>
  <c r="Q26" i="2"/>
  <c r="AC24" i="2"/>
  <c r="X26" i="2"/>
  <c r="R24" i="2"/>
  <c r="W25" i="2"/>
  <c r="Q23" i="2"/>
  <c r="AG23" i="2" s="1"/>
  <c r="P18" i="2"/>
  <c r="Q19" i="2"/>
  <c r="AJ19" i="2" s="1"/>
  <c r="AJ25" i="2"/>
  <c r="AE26" i="2"/>
  <c r="P25" i="2"/>
  <c r="W24" i="2"/>
  <c r="U24" i="2"/>
  <c r="V25" i="2"/>
  <c r="V26" i="2"/>
  <c r="AN13" i="2"/>
  <c r="AN11" i="2"/>
  <c r="AN12" i="2"/>
  <c r="AA13" i="2"/>
  <c r="AA11" i="2"/>
  <c r="AA12" i="2"/>
  <c r="Z13" i="2"/>
  <c r="Z11" i="2"/>
  <c r="Z12" i="2"/>
  <c r="AJ13" i="2"/>
  <c r="AJ11" i="2"/>
  <c r="AJ12" i="2"/>
  <c r="AI13" i="2"/>
  <c r="AI11" i="2"/>
  <c r="AI12" i="2"/>
  <c r="AH13" i="2"/>
  <c r="AH11" i="2"/>
  <c r="AH12" i="2"/>
  <c r="AG13" i="2"/>
  <c r="AG11" i="2"/>
  <c r="AG12" i="2"/>
  <c r="E47" i="8"/>
  <c r="M20" i="8" s="1"/>
  <c r="M23" i="8" s="1"/>
  <c r="E50" i="8" s="1"/>
  <c r="E49" i="8" s="1"/>
  <c r="I96" i="7"/>
  <c r="I85" i="8"/>
  <c r="I91" i="8"/>
  <c r="I109" i="8"/>
  <c r="I97" i="8"/>
  <c r="I98" i="8"/>
  <c r="I112" i="8"/>
  <c r="I86" i="8"/>
  <c r="I110" i="8"/>
  <c r="I90" i="8"/>
  <c r="Q21" i="8"/>
  <c r="Z21" i="8" s="1"/>
  <c r="R39" i="3"/>
  <c r="Q38" i="3"/>
  <c r="V40" i="3"/>
  <c r="R24" i="6"/>
  <c r="V24" i="6" s="1"/>
  <c r="AC40" i="3"/>
  <c r="P37" i="3"/>
  <c r="Q40" i="3"/>
  <c r="AL40" i="3"/>
  <c r="S9" i="3"/>
  <c r="Q33" i="3"/>
  <c r="AI33" i="3" s="1"/>
  <c r="Q35" i="3"/>
  <c r="AG35" i="3" s="1"/>
  <c r="W40" i="3"/>
  <c r="P34" i="3"/>
  <c r="AB40" i="3"/>
  <c r="AC116" i="2"/>
  <c r="AF40" i="7"/>
  <c r="W39" i="4"/>
  <c r="S30" i="8"/>
  <c r="Q30" i="8"/>
  <c r="AJ30" i="8" s="1"/>
  <c r="Q34" i="8"/>
  <c r="AI34" i="8" s="1"/>
  <c r="Q32" i="3"/>
  <c r="AJ32" i="3" s="1"/>
  <c r="P31" i="3"/>
  <c r="R36" i="3"/>
  <c r="V36" i="3" s="1"/>
  <c r="T40" i="3"/>
  <c r="P40" i="3"/>
  <c r="AK39" i="3"/>
  <c r="S36" i="8"/>
  <c r="AB41" i="7"/>
  <c r="W39" i="3"/>
  <c r="P39" i="3"/>
  <c r="Q36" i="3"/>
  <c r="S31" i="8"/>
  <c r="Q32" i="8"/>
  <c r="AJ32" i="8" s="1"/>
  <c r="R36" i="8"/>
  <c r="V36" i="8" s="1"/>
  <c r="Q31" i="8"/>
  <c r="AG31" i="8" s="1"/>
  <c r="P36" i="4"/>
  <c r="AK38" i="4"/>
  <c r="Y40" i="3"/>
  <c r="P38" i="3"/>
  <c r="R34" i="3"/>
  <c r="V34" i="3" s="1"/>
  <c r="Q37" i="3"/>
  <c r="X40" i="3"/>
  <c r="R37" i="3"/>
  <c r="V37" i="3" s="1"/>
  <c r="X39" i="4"/>
  <c r="P30" i="8"/>
  <c r="Q36" i="8"/>
  <c r="R35" i="4"/>
  <c r="V35" i="4" s="1"/>
  <c r="Q35" i="8"/>
  <c r="AA35" i="8" s="1"/>
  <c r="P30" i="4"/>
  <c r="S32" i="3"/>
  <c r="P33" i="3"/>
  <c r="V39" i="3"/>
  <c r="AD39" i="3"/>
  <c r="S36" i="3"/>
  <c r="R31" i="3"/>
  <c r="V31" i="3" s="1"/>
  <c r="R35" i="3"/>
  <c r="V35" i="3" s="1"/>
  <c r="Q31" i="3"/>
  <c r="AA31" i="3" s="1"/>
  <c r="P34" i="8"/>
  <c r="R39" i="4"/>
  <c r="Y39" i="3"/>
  <c r="P35" i="3"/>
  <c r="AB39" i="3"/>
  <c r="X39" i="3"/>
  <c r="AE39" i="3"/>
  <c r="S40" i="3"/>
  <c r="P37" i="8"/>
  <c r="U39" i="4"/>
  <c r="R32" i="8"/>
  <c r="V32" i="8" s="1"/>
  <c r="S39" i="8"/>
  <c r="X39" i="8" s="1"/>
  <c r="Q34" i="4"/>
  <c r="AJ34" i="4" s="1"/>
  <c r="AM40" i="7"/>
  <c r="AF39" i="3"/>
  <c r="S31" i="3"/>
  <c r="R38" i="3"/>
  <c r="V38" i="3" s="1"/>
  <c r="AD40" i="3"/>
  <c r="S33" i="3"/>
  <c r="S37" i="3"/>
  <c r="Y37" i="3" s="1"/>
  <c r="V39" i="4"/>
  <c r="R40" i="3"/>
  <c r="AK40" i="3"/>
  <c r="AM40" i="3"/>
  <c r="S34" i="8"/>
  <c r="S37" i="8"/>
  <c r="P31" i="8"/>
  <c r="R32" i="4"/>
  <c r="V32" i="4" s="1"/>
  <c r="R34" i="4"/>
  <c r="V34" i="4" s="1"/>
  <c r="R33" i="3"/>
  <c r="V33" i="3" s="1"/>
  <c r="S34" i="3"/>
  <c r="AF40" i="3"/>
  <c r="AM39" i="3"/>
  <c r="S39" i="3"/>
  <c r="R32" i="3"/>
  <c r="P32" i="3"/>
  <c r="T39" i="3"/>
  <c r="AL39" i="4"/>
  <c r="P33" i="4"/>
  <c r="Q38" i="4"/>
  <c r="AM38" i="4"/>
  <c r="I102" i="6"/>
  <c r="H69" i="7"/>
  <c r="H71" i="7" s="1"/>
  <c r="K106" i="7" s="1"/>
  <c r="E67" i="4"/>
  <c r="E69" i="4" s="1"/>
  <c r="I99" i="4" s="1"/>
  <c r="H101" i="8"/>
  <c r="H113" i="8"/>
  <c r="W12" i="9"/>
  <c r="I82" i="8"/>
  <c r="D60" i="8"/>
  <c r="M9" i="8" s="1"/>
  <c r="D46" i="8"/>
  <c r="D47" i="8" s="1"/>
  <c r="M7" i="8" s="1"/>
  <c r="M10" i="8" s="1"/>
  <c r="D50" i="8" s="1"/>
  <c r="D49" i="8" s="1"/>
  <c r="D46" i="4"/>
  <c r="D47" i="4" s="1"/>
  <c r="M7" i="4" s="1"/>
  <c r="M10" i="4" s="1"/>
  <c r="D50" i="4" s="1"/>
  <c r="D49" i="4" s="1"/>
  <c r="S6" i="8"/>
  <c r="AC107" i="2"/>
  <c r="E46" i="5"/>
  <c r="AC89" i="2"/>
  <c r="AC118" i="2"/>
  <c r="E42" i="2"/>
  <c r="AC122" i="2"/>
  <c r="H94" i="8"/>
  <c r="G48" i="7"/>
  <c r="G49" i="7" s="1"/>
  <c r="M35" i="7" s="1"/>
  <c r="M38" i="7" s="1"/>
  <c r="G52" i="7" s="1"/>
  <c r="G51" i="7" s="1"/>
  <c r="H60" i="5"/>
  <c r="M48" i="5" s="1"/>
  <c r="H96" i="8"/>
  <c r="D45" i="7"/>
  <c r="E45" i="7" s="1"/>
  <c r="R23" i="8"/>
  <c r="T23" i="8" s="1"/>
  <c r="U23" i="8" s="1"/>
  <c r="P17" i="8"/>
  <c r="S33" i="8"/>
  <c r="S33" i="4"/>
  <c r="R37" i="8"/>
  <c r="V37" i="8" s="1"/>
  <c r="T41" i="7"/>
  <c r="AC39" i="4"/>
  <c r="P31" i="4"/>
  <c r="Q33" i="4"/>
  <c r="AG33" i="4" s="1"/>
  <c r="T39" i="4"/>
  <c r="T38" i="4"/>
  <c r="Q36" i="4"/>
  <c r="S36" i="4"/>
  <c r="W36" i="4" s="1"/>
  <c r="P38" i="4"/>
  <c r="R30" i="8"/>
  <c r="V30" i="8" s="1"/>
  <c r="P32" i="8"/>
  <c r="Q39" i="8"/>
  <c r="AF38" i="4"/>
  <c r="Q37" i="8"/>
  <c r="Q38" i="8"/>
  <c r="P39" i="8"/>
  <c r="R31" i="8"/>
  <c r="V31" i="8" s="1"/>
  <c r="S38" i="8"/>
  <c r="W38" i="8" s="1"/>
  <c r="P37" i="4"/>
  <c r="X38" i="4"/>
  <c r="R38" i="8"/>
  <c r="V38" i="8" s="1"/>
  <c r="P36" i="7"/>
  <c r="P32" i="4"/>
  <c r="AE38" i="4"/>
  <c r="R37" i="4"/>
  <c r="V37" i="4" s="1"/>
  <c r="R30" i="4"/>
  <c r="V30" i="4" s="1"/>
  <c r="Q31" i="4"/>
  <c r="AA31" i="4" s="1"/>
  <c r="S35" i="4"/>
  <c r="AK39" i="4"/>
  <c r="Y39" i="4"/>
  <c r="P36" i="8"/>
  <c r="AL40" i="7"/>
  <c r="S38" i="4"/>
  <c r="S31" i="4"/>
  <c r="Q39" i="4"/>
  <c r="W38" i="4"/>
  <c r="AM39" i="4"/>
  <c r="Q37" i="4"/>
  <c r="R36" i="4"/>
  <c r="V36" i="4" s="1"/>
  <c r="P39" i="4"/>
  <c r="S30" i="4"/>
  <c r="Q32" i="4"/>
  <c r="AA32" i="4" s="1"/>
  <c r="S32" i="4"/>
  <c r="Q30" i="4"/>
  <c r="AA30" i="4" s="1"/>
  <c r="R33" i="4"/>
  <c r="V33" i="4" s="1"/>
  <c r="AC38" i="4"/>
  <c r="T40" i="7"/>
  <c r="R34" i="8"/>
  <c r="V34" i="8" s="1"/>
  <c r="P38" i="8"/>
  <c r="Q33" i="8"/>
  <c r="Z33" i="8" s="1"/>
  <c r="S35" i="8"/>
  <c r="R31" i="4"/>
  <c r="V31" i="4" s="1"/>
  <c r="P9" i="3"/>
  <c r="P33" i="8"/>
  <c r="Y38" i="4"/>
  <c r="AD38" i="4"/>
  <c r="AB38" i="4"/>
  <c r="S39" i="4"/>
  <c r="S37" i="4"/>
  <c r="Y37" i="4" s="1"/>
  <c r="S34" i="4"/>
  <c r="U38" i="4"/>
  <c r="P34" i="4"/>
  <c r="S32" i="8"/>
  <c r="R33" i="8"/>
  <c r="V33" i="8" s="1"/>
  <c r="P35" i="8"/>
  <c r="R35" i="8"/>
  <c r="V35" i="8" s="1"/>
  <c r="AF39" i="4"/>
  <c r="AE39" i="4"/>
  <c r="AB39" i="4"/>
  <c r="AD39" i="4"/>
  <c r="Q35" i="4"/>
  <c r="V38" i="4"/>
  <c r="AL38" i="4"/>
  <c r="P35" i="4"/>
  <c r="AL39" i="3"/>
  <c r="AC39" i="3"/>
  <c r="S38" i="3"/>
  <c r="Y38" i="3" s="1"/>
  <c r="U40" i="3"/>
  <c r="Q39" i="3"/>
  <c r="U39" i="3"/>
  <c r="P36" i="3"/>
  <c r="AE40" i="3"/>
  <c r="S35" i="3"/>
  <c r="Q34" i="3"/>
  <c r="Z34" i="3" s="1"/>
  <c r="P33" i="6"/>
  <c r="P36" i="6"/>
  <c r="Q37" i="6"/>
  <c r="R34" i="6"/>
  <c r="R33" i="6"/>
  <c r="V33" i="6" s="1"/>
  <c r="Q34" i="6"/>
  <c r="AJ34" i="6" s="1"/>
  <c r="R40" i="6"/>
  <c r="V40" i="6" s="1"/>
  <c r="R32" i="6"/>
  <c r="V32" i="6" s="1"/>
  <c r="R39" i="6"/>
  <c r="V39" i="6" s="1"/>
  <c r="P39" i="6"/>
  <c r="P38" i="6"/>
  <c r="R37" i="6"/>
  <c r="V37" i="6" s="1"/>
  <c r="Y37" i="6" s="1"/>
  <c r="P39" i="5"/>
  <c r="Q31" i="6"/>
  <c r="AH31" i="6" s="1"/>
  <c r="Q33" i="6"/>
  <c r="AI33" i="6" s="1"/>
  <c r="R35" i="6"/>
  <c r="V35" i="6" s="1"/>
  <c r="P37" i="6"/>
  <c r="P26" i="8"/>
  <c r="Q30" i="5"/>
  <c r="AJ30" i="5" s="1"/>
  <c r="P32" i="6"/>
  <c r="P34" i="6"/>
  <c r="P31" i="6"/>
  <c r="Q36" i="6"/>
  <c r="AA36" i="6" s="1"/>
  <c r="Q7" i="3"/>
  <c r="AH7" i="3" s="1"/>
  <c r="Q40" i="6"/>
  <c r="P40" i="6"/>
  <c r="Q39" i="6"/>
  <c r="R36" i="6"/>
  <c r="V36" i="6" s="1"/>
  <c r="P35" i="6"/>
  <c r="Q32" i="6"/>
  <c r="AA32" i="6" s="1"/>
  <c r="Q38" i="6"/>
  <c r="Q35" i="6"/>
  <c r="Z35" i="6" s="1"/>
  <c r="R31" i="6"/>
  <c r="V31" i="6" s="1"/>
  <c r="S4" i="9"/>
  <c r="R13" i="8"/>
  <c r="V13" i="8" s="1"/>
  <c r="S13" i="8"/>
  <c r="W13" i="8" s="1"/>
  <c r="Y13" i="9"/>
  <c r="P12" i="8"/>
  <c r="Q4" i="9"/>
  <c r="AJ4" i="9" s="1"/>
  <c r="W13" i="9"/>
  <c r="Q6" i="9"/>
  <c r="AJ6" i="9" s="1"/>
  <c r="P5" i="9"/>
  <c r="R4" i="8"/>
  <c r="V4" i="8" s="1"/>
  <c r="P8" i="9"/>
  <c r="AC12" i="9"/>
  <c r="R5" i="9"/>
  <c r="V5" i="9" s="1"/>
  <c r="Q9" i="8"/>
  <c r="AG9" i="8" s="1"/>
  <c r="Q6" i="8"/>
  <c r="AA6" i="8" s="1"/>
  <c r="T13" i="9"/>
  <c r="R10" i="9"/>
  <c r="V10" i="9" s="1"/>
  <c r="Q7" i="8"/>
  <c r="AI7" i="8" s="1"/>
  <c r="P9" i="8"/>
  <c r="AE12" i="9"/>
  <c r="P8" i="6"/>
  <c r="Q8" i="7"/>
  <c r="AJ8" i="7" s="1"/>
  <c r="Q12" i="7"/>
  <c r="Q5" i="4"/>
  <c r="AH5" i="4" s="1"/>
  <c r="Q6" i="4"/>
  <c r="AJ6" i="4" s="1"/>
  <c r="S10" i="4"/>
  <c r="S8" i="6"/>
  <c r="P6" i="6"/>
  <c r="Q6" i="7"/>
  <c r="AG6" i="7" s="1"/>
  <c r="R10" i="7"/>
  <c r="P9" i="7"/>
  <c r="R6" i="7"/>
  <c r="V6" i="7" s="1"/>
  <c r="R7" i="7"/>
  <c r="V7" i="7" s="1"/>
  <c r="P10" i="7"/>
  <c r="P13" i="7"/>
  <c r="S5" i="7"/>
  <c r="S4" i="7"/>
  <c r="Q7" i="7"/>
  <c r="AA7" i="7" s="1"/>
  <c r="S10" i="7"/>
  <c r="Q11" i="7"/>
  <c r="P12" i="7"/>
  <c r="Q13" i="7"/>
  <c r="R11" i="7"/>
  <c r="V11" i="7" s="1"/>
  <c r="S9" i="7"/>
  <c r="S11" i="7"/>
  <c r="P6" i="7"/>
  <c r="P5" i="7"/>
  <c r="R20" i="7"/>
  <c r="S17" i="7"/>
  <c r="Q24" i="7"/>
  <c r="S26" i="7"/>
  <c r="Y26" i="7" s="1"/>
  <c r="Q19" i="7"/>
  <c r="AG19" i="7" s="1"/>
  <c r="Q4" i="8"/>
  <c r="Z4" i="8" s="1"/>
  <c r="R5" i="8"/>
  <c r="R12" i="8"/>
  <c r="R7" i="8"/>
  <c r="V7" i="8" s="1"/>
  <c r="R11" i="8"/>
  <c r="V11" i="8" s="1"/>
  <c r="S5" i="8"/>
  <c r="S11" i="8"/>
  <c r="Q5" i="8"/>
  <c r="Z5" i="8" s="1"/>
  <c r="S8" i="8"/>
  <c r="P11" i="8"/>
  <c r="R6" i="8"/>
  <c r="P4" i="8"/>
  <c r="S9" i="8"/>
  <c r="S12" i="8"/>
  <c r="Y12" i="8" s="1"/>
  <c r="Q13" i="8"/>
  <c r="P10" i="8"/>
  <c r="Q10" i="8"/>
  <c r="Q12" i="8"/>
  <c r="P6" i="8"/>
  <c r="P7" i="8"/>
  <c r="Q11" i="8"/>
  <c r="P5" i="8"/>
  <c r="S10" i="8"/>
  <c r="Q8" i="8"/>
  <c r="AH8" i="8" s="1"/>
  <c r="R8" i="8"/>
  <c r="V8" i="8" s="1"/>
  <c r="S4" i="8"/>
  <c r="S7" i="8"/>
  <c r="R10" i="8"/>
  <c r="P8" i="8"/>
  <c r="R9" i="8"/>
  <c r="V9" i="8" s="1"/>
  <c r="AB13" i="9"/>
  <c r="U12" i="9"/>
  <c r="S13" i="9"/>
  <c r="S6" i="9"/>
  <c r="P10" i="9"/>
  <c r="Q9" i="9"/>
  <c r="AK9" i="9" s="1"/>
  <c r="P11" i="9"/>
  <c r="Q7" i="9"/>
  <c r="AJ7" i="9" s="1"/>
  <c r="P9" i="9"/>
  <c r="R12" i="9"/>
  <c r="R4" i="9"/>
  <c r="V4" i="9" s="1"/>
  <c r="S8" i="9"/>
  <c r="Q8" i="9"/>
  <c r="AI8" i="9" s="1"/>
  <c r="X12" i="9"/>
  <c r="P12" i="9"/>
  <c r="X13" i="9"/>
  <c r="S9" i="9"/>
  <c r="Q11" i="9"/>
  <c r="AC13" i="9"/>
  <c r="AD12" i="9"/>
  <c r="S11" i="9"/>
  <c r="T12" i="9"/>
  <c r="AF12" i="9"/>
  <c r="R7" i="9"/>
  <c r="V7" i="9" s="1"/>
  <c r="S7" i="9"/>
  <c r="R11" i="9"/>
  <c r="V11" i="9" s="1"/>
  <c r="AD13" i="9"/>
  <c r="R9" i="9"/>
  <c r="V9" i="9" s="1"/>
  <c r="Q12" i="9"/>
  <c r="Y12" i="9"/>
  <c r="AE13" i="9"/>
  <c r="R6" i="9"/>
  <c r="V6" i="9" s="1"/>
  <c r="V13" i="9"/>
  <c r="P7" i="9"/>
  <c r="R13" i="9"/>
  <c r="P13" i="9"/>
  <c r="AB12" i="9"/>
  <c r="P6" i="9"/>
  <c r="Q10" i="9"/>
  <c r="AJ10" i="9" s="1"/>
  <c r="R8" i="9"/>
  <c r="V8" i="9" s="1"/>
  <c r="U13" i="9"/>
  <c r="P4" i="9"/>
  <c r="S12" i="9"/>
  <c r="AF13" i="9"/>
  <c r="S5" i="9"/>
  <c r="V12" i="9"/>
  <c r="S10" i="9"/>
  <c r="Q13" i="9"/>
  <c r="Q5" i="9"/>
  <c r="AJ5" i="9" s="1"/>
  <c r="P4" i="7"/>
  <c r="P13" i="6"/>
  <c r="Q4" i="7"/>
  <c r="AI4" i="7" s="1"/>
  <c r="P19" i="6"/>
  <c r="S25" i="6"/>
  <c r="W25" i="6" s="1"/>
  <c r="P24" i="6"/>
  <c r="R21" i="6"/>
  <c r="V21" i="6" s="1"/>
  <c r="R23" i="6"/>
  <c r="V23" i="6" s="1"/>
  <c r="R26" i="6"/>
  <c r="V26" i="6" s="1"/>
  <c r="Q22" i="6"/>
  <c r="Q20" i="6"/>
  <c r="Z20" i="6" s="1"/>
  <c r="R25" i="6"/>
  <c r="S22" i="6"/>
  <c r="Q26" i="6"/>
  <c r="P17" i="6"/>
  <c r="Q18" i="6"/>
  <c r="AG18" i="6" s="1"/>
  <c r="Q21" i="6"/>
  <c r="AG21" i="6" s="1"/>
  <c r="S18" i="6"/>
  <c r="P18" i="6"/>
  <c r="S19" i="6"/>
  <c r="R19" i="6"/>
  <c r="V19" i="6" s="1"/>
  <c r="Q24" i="6"/>
  <c r="P22" i="6"/>
  <c r="R17" i="6"/>
  <c r="V17" i="6" s="1"/>
  <c r="P20" i="6"/>
  <c r="P25" i="6"/>
  <c r="Q19" i="6"/>
  <c r="AH19" i="6" s="1"/>
  <c r="S23" i="6"/>
  <c r="S20" i="6"/>
  <c r="R22" i="6"/>
  <c r="V22" i="6" s="1"/>
  <c r="P23" i="6"/>
  <c r="R18" i="6"/>
  <c r="V18" i="6" s="1"/>
  <c r="R20" i="6"/>
  <c r="V20" i="6" s="1"/>
  <c r="P26" i="6"/>
  <c r="S26" i="6"/>
  <c r="W26" i="6" s="1"/>
  <c r="S21" i="6"/>
  <c r="Q17" i="6"/>
  <c r="AI17" i="6" s="1"/>
  <c r="P21" i="6"/>
  <c r="S17" i="6"/>
  <c r="S24" i="6"/>
  <c r="Q23" i="6"/>
  <c r="Q9" i="2"/>
  <c r="AH9" i="2" s="1"/>
  <c r="S11" i="2"/>
  <c r="R20" i="8"/>
  <c r="R26" i="8"/>
  <c r="T26" i="8" s="1"/>
  <c r="U26" i="8" s="1"/>
  <c r="S21" i="8"/>
  <c r="P18" i="8"/>
  <c r="P19" i="8"/>
  <c r="P20" i="8"/>
  <c r="S20" i="8"/>
  <c r="R25" i="8"/>
  <c r="V25" i="8" s="1"/>
  <c r="Q25" i="8"/>
  <c r="Q23" i="8"/>
  <c r="AC23" i="8" s="1"/>
  <c r="R22" i="8"/>
  <c r="V22" i="8" s="1"/>
  <c r="Q22" i="8"/>
  <c r="AH22" i="8" s="1"/>
  <c r="Q26" i="8"/>
  <c r="P24" i="8"/>
  <c r="P21" i="8"/>
  <c r="S19" i="8"/>
  <c r="S25" i="8"/>
  <c r="W25" i="8" s="1"/>
  <c r="P22" i="8"/>
  <c r="Q19" i="8"/>
  <c r="AG19" i="8" s="1"/>
  <c r="R18" i="8"/>
  <c r="V18" i="8" s="1"/>
  <c r="P23" i="8"/>
  <c r="S17" i="8"/>
  <c r="S18" i="8"/>
  <c r="Q24" i="8"/>
  <c r="R24" i="8"/>
  <c r="V24" i="8" s="1"/>
  <c r="S22" i="8"/>
  <c r="S24" i="8"/>
  <c r="Q17" i="8"/>
  <c r="AG17" i="8" s="1"/>
  <c r="R21" i="8"/>
  <c r="V21" i="8" s="1"/>
  <c r="Q20" i="8"/>
  <c r="AG20" i="8" s="1"/>
  <c r="R19" i="8"/>
  <c r="V19" i="8" s="1"/>
  <c r="S26" i="8"/>
  <c r="Y26" i="8" s="1"/>
  <c r="P25" i="8"/>
  <c r="R17" i="8"/>
  <c r="V17" i="8" s="1"/>
  <c r="Q18" i="8"/>
  <c r="AI18" i="8" s="1"/>
  <c r="K95" i="7"/>
  <c r="K96" i="7"/>
  <c r="S25" i="3"/>
  <c r="Y25" i="3" s="1"/>
  <c r="S19" i="3"/>
  <c r="Q19" i="3"/>
  <c r="AA19" i="3" s="1"/>
  <c r="AC99" i="2"/>
  <c r="AC106" i="2"/>
  <c r="AC110" i="2"/>
  <c r="AC112" i="2"/>
  <c r="AC117" i="2"/>
  <c r="AC113" i="2"/>
  <c r="AC95" i="2"/>
  <c r="AC96" i="2"/>
  <c r="AC90" i="2"/>
  <c r="AC108" i="2"/>
  <c r="AC105" i="2"/>
  <c r="AC119" i="2"/>
  <c r="AC101" i="2"/>
  <c r="AC100" i="2"/>
  <c r="AC91" i="2"/>
  <c r="AC121" i="2"/>
  <c r="AC104" i="2"/>
  <c r="AC109" i="2"/>
  <c r="AC111" i="2"/>
  <c r="AC92" i="2"/>
  <c r="AC114" i="2"/>
  <c r="AC98" i="2"/>
  <c r="AC102" i="2"/>
  <c r="AC120" i="2"/>
  <c r="AC115" i="2"/>
  <c r="AC97" i="2"/>
  <c r="AC93" i="2"/>
  <c r="AC103" i="2"/>
  <c r="AC94" i="2"/>
  <c r="H105" i="8"/>
  <c r="H80" i="8"/>
  <c r="H111" i="8"/>
  <c r="H88" i="8"/>
  <c r="H86" i="8"/>
  <c r="H87" i="8"/>
  <c r="H108" i="8"/>
  <c r="H106" i="8"/>
  <c r="H103" i="8"/>
  <c r="H90" i="8"/>
  <c r="H97" i="8"/>
  <c r="H104" i="8"/>
  <c r="H99" i="8"/>
  <c r="H83" i="8"/>
  <c r="H91" i="8"/>
  <c r="H109" i="8"/>
  <c r="H100" i="8"/>
  <c r="H89" i="8"/>
  <c r="H107" i="8"/>
  <c r="H102" i="8"/>
  <c r="H110" i="8"/>
  <c r="H92" i="8"/>
  <c r="H82" i="8"/>
  <c r="H85" i="8"/>
  <c r="H81" i="8"/>
  <c r="H95" i="8"/>
  <c r="H112" i="8"/>
  <c r="H84" i="8"/>
  <c r="H98" i="8"/>
  <c r="H93" i="8"/>
  <c r="I85" i="7"/>
  <c r="I110" i="7"/>
  <c r="J91" i="4"/>
  <c r="J92" i="4"/>
  <c r="J98" i="4"/>
  <c r="J90" i="4"/>
  <c r="K102" i="5"/>
  <c r="K113" i="5"/>
  <c r="K108" i="5"/>
  <c r="K93" i="5"/>
  <c r="S50" i="7"/>
  <c r="S48" i="7"/>
  <c r="Y48" i="7" s="1"/>
  <c r="X53" i="7"/>
  <c r="AF52" i="7"/>
  <c r="AE49" i="7"/>
  <c r="AM51" i="7"/>
  <c r="V51" i="7"/>
  <c r="S21" i="7"/>
  <c r="Q23" i="7"/>
  <c r="P23" i="7"/>
  <c r="S18" i="7"/>
  <c r="P20" i="7"/>
  <c r="P11" i="7"/>
  <c r="R13" i="7"/>
  <c r="V13" i="7" s="1"/>
  <c r="P7" i="7"/>
  <c r="S13" i="7"/>
  <c r="S12" i="7"/>
  <c r="S23" i="7"/>
  <c r="P34" i="5"/>
  <c r="I98" i="6"/>
  <c r="I93" i="8"/>
  <c r="I111" i="8"/>
  <c r="I101" i="8"/>
  <c r="I81" i="8"/>
  <c r="I109" i="6"/>
  <c r="I103" i="6"/>
  <c r="I91" i="6"/>
  <c r="E46" i="4"/>
  <c r="E47" i="4" s="1"/>
  <c r="M20" i="4" s="1"/>
  <c r="M23" i="4" s="1"/>
  <c r="E50" i="4" s="1"/>
  <c r="E49" i="4" s="1"/>
  <c r="E48" i="7"/>
  <c r="E49" i="7" s="1"/>
  <c r="M20" i="7" s="1"/>
  <c r="M23" i="7" s="1"/>
  <c r="E52" i="7" s="1"/>
  <c r="E51" i="7" s="1"/>
  <c r="J81" i="3"/>
  <c r="P22" i="7"/>
  <c r="R18" i="7"/>
  <c r="P19" i="7"/>
  <c r="Q22" i="7"/>
  <c r="AH22" i="7" s="1"/>
  <c r="R23" i="7"/>
  <c r="R38" i="5"/>
  <c r="V38" i="5" s="1"/>
  <c r="P37" i="5"/>
  <c r="I92" i="6"/>
  <c r="I83" i="6"/>
  <c r="I93" i="6"/>
  <c r="I110" i="6"/>
  <c r="I113" i="6"/>
  <c r="I95" i="6"/>
  <c r="J93" i="3"/>
  <c r="P18" i="7"/>
  <c r="R26" i="7"/>
  <c r="V26" i="7" s="1"/>
  <c r="R19" i="7"/>
  <c r="V19" i="7" s="1"/>
  <c r="S20" i="7"/>
  <c r="Q17" i="7"/>
  <c r="AJ17" i="7" s="1"/>
  <c r="P30" i="5"/>
  <c r="Q36" i="5"/>
  <c r="AJ36" i="5" s="1"/>
  <c r="I97" i="7"/>
  <c r="I96" i="8"/>
  <c r="I106" i="8"/>
  <c r="I103" i="8"/>
  <c r="I97" i="6"/>
  <c r="I100" i="6"/>
  <c r="I105" i="6"/>
  <c r="I111" i="6"/>
  <c r="P17" i="7"/>
  <c r="P25" i="7"/>
  <c r="Q21" i="7"/>
  <c r="AH21" i="7" s="1"/>
  <c r="P24" i="7"/>
  <c r="S19" i="7"/>
  <c r="R31" i="5"/>
  <c r="V31" i="5" s="1"/>
  <c r="R36" i="5"/>
  <c r="V36" i="5" s="1"/>
  <c r="I88" i="8"/>
  <c r="I105" i="7"/>
  <c r="I102" i="8"/>
  <c r="I89" i="8"/>
  <c r="I105" i="8"/>
  <c r="I112" i="6"/>
  <c r="I106" i="6"/>
  <c r="I81" i="6"/>
  <c r="I87" i="6"/>
  <c r="E62" i="7"/>
  <c r="M22" i="7" s="1"/>
  <c r="D43" i="3"/>
  <c r="E43" i="3" s="1"/>
  <c r="D60" i="2"/>
  <c r="M9" i="2" s="1"/>
  <c r="R24" i="7"/>
  <c r="V24" i="7" s="1"/>
  <c r="R17" i="7"/>
  <c r="V17" i="7" s="1"/>
  <c r="Q20" i="7"/>
  <c r="Z20" i="7" s="1"/>
  <c r="R25" i="7"/>
  <c r="V25" i="7" s="1"/>
  <c r="Q18" i="7"/>
  <c r="Z18" i="7" s="1"/>
  <c r="P38" i="5"/>
  <c r="Q32" i="5"/>
  <c r="AH32" i="5" s="1"/>
  <c r="I90" i="6"/>
  <c r="I104" i="6"/>
  <c r="I89" i="6"/>
  <c r="S8" i="7"/>
  <c r="P21" i="7"/>
  <c r="S25" i="7"/>
  <c r="Q25" i="7"/>
  <c r="R21" i="7"/>
  <c r="V21" i="7" s="1"/>
  <c r="R22" i="7"/>
  <c r="V22" i="7" s="1"/>
  <c r="S7" i="7"/>
  <c r="Q5" i="7"/>
  <c r="Z5" i="7" s="1"/>
  <c r="R12" i="7"/>
  <c r="V12" i="7" s="1"/>
  <c r="R8" i="7"/>
  <c r="V8" i="7" s="1"/>
  <c r="Q10" i="7"/>
  <c r="R35" i="5"/>
  <c r="V35" i="5" s="1"/>
  <c r="Q33" i="5"/>
  <c r="AA33" i="5" s="1"/>
  <c r="I107" i="6"/>
  <c r="I83" i="8"/>
  <c r="I84" i="8"/>
  <c r="I107" i="8"/>
  <c r="I86" i="6"/>
  <c r="I85" i="6"/>
  <c r="E46" i="9"/>
  <c r="S22" i="7"/>
  <c r="S24" i="7"/>
  <c r="P26" i="7"/>
  <c r="Q26" i="7"/>
  <c r="S6" i="7"/>
  <c r="P8" i="7"/>
  <c r="Q9" i="7"/>
  <c r="AJ9" i="7" s="1"/>
  <c r="R4" i="7"/>
  <c r="R9" i="7"/>
  <c r="V9" i="7" s="1"/>
  <c r="P32" i="5"/>
  <c r="I82" i="6"/>
  <c r="I92" i="8"/>
  <c r="I94" i="8"/>
  <c r="I100" i="8"/>
  <c r="I104" i="8"/>
  <c r="I114" i="6"/>
  <c r="I88" i="6"/>
  <c r="D43" i="8"/>
  <c r="E43" i="8" s="1"/>
  <c r="E48" i="8" s="1"/>
  <c r="M21" i="8" s="1"/>
  <c r="J108" i="3"/>
  <c r="J84" i="3"/>
  <c r="G61" i="6"/>
  <c r="M36" i="6" s="1"/>
  <c r="H90" i="4"/>
  <c r="H99" i="4"/>
  <c r="H91" i="4"/>
  <c r="H84" i="4"/>
  <c r="J93" i="6"/>
  <c r="J99" i="6"/>
  <c r="J81" i="6"/>
  <c r="J87" i="6"/>
  <c r="J98" i="6"/>
  <c r="J100" i="6"/>
  <c r="J105" i="6"/>
  <c r="J108" i="6"/>
  <c r="J85" i="6"/>
  <c r="J104" i="6"/>
  <c r="J101" i="6"/>
  <c r="J111" i="6"/>
  <c r="J91" i="6"/>
  <c r="J94" i="6"/>
  <c r="J88" i="6"/>
  <c r="J113" i="6"/>
  <c r="J92" i="6"/>
  <c r="J107" i="6"/>
  <c r="J90" i="6"/>
  <c r="J106" i="6"/>
  <c r="J83" i="6"/>
  <c r="J110" i="6"/>
  <c r="J84" i="6"/>
  <c r="J82" i="6"/>
  <c r="J96" i="6"/>
  <c r="J95" i="6"/>
  <c r="J114" i="6"/>
  <c r="J86" i="6"/>
  <c r="S23" i="4"/>
  <c r="S20" i="4"/>
  <c r="Q18" i="4"/>
  <c r="Z18" i="4" s="1"/>
  <c r="R21" i="4"/>
  <c r="V21" i="4" s="1"/>
  <c r="S18" i="4"/>
  <c r="R19" i="4"/>
  <c r="V19" i="4" s="1"/>
  <c r="I110" i="3"/>
  <c r="I97" i="3"/>
  <c r="I84" i="3"/>
  <c r="I101" i="3"/>
  <c r="I82" i="3"/>
  <c r="I85" i="3"/>
  <c r="I102" i="3"/>
  <c r="I87" i="3"/>
  <c r="I114" i="3"/>
  <c r="I112" i="3"/>
  <c r="I108" i="3"/>
  <c r="I104" i="3"/>
  <c r="I98" i="3"/>
  <c r="S45" i="5"/>
  <c r="P50" i="5"/>
  <c r="R50" i="5"/>
  <c r="V50" i="5" s="1"/>
  <c r="Q44" i="5"/>
  <c r="AI44" i="5" s="1"/>
  <c r="R44" i="5"/>
  <c r="V44" i="5" s="1"/>
  <c r="R45" i="5"/>
  <c r="V45" i="5" s="1"/>
  <c r="R47" i="5"/>
  <c r="V47" i="5" s="1"/>
  <c r="S46" i="5"/>
  <c r="Q52" i="5"/>
  <c r="Q43" i="5"/>
  <c r="AI43" i="5" s="1"/>
  <c r="Q46" i="5"/>
  <c r="AA46" i="5" s="1"/>
  <c r="I113" i="7"/>
  <c r="I98" i="7"/>
  <c r="I92" i="7"/>
  <c r="I100" i="7"/>
  <c r="I106" i="7"/>
  <c r="E67" i="5"/>
  <c r="E69" i="5" s="1"/>
  <c r="I82" i="5" s="1"/>
  <c r="D60" i="4"/>
  <c r="M9" i="4" s="1"/>
  <c r="I103" i="7"/>
  <c r="I93" i="7"/>
  <c r="I88" i="7"/>
  <c r="I108" i="7"/>
  <c r="I109" i="7"/>
  <c r="I111" i="7"/>
  <c r="I82" i="7"/>
  <c r="I84" i="7"/>
  <c r="I101" i="7"/>
  <c r="I112" i="7"/>
  <c r="I102" i="7"/>
  <c r="E61" i="3"/>
  <c r="M22" i="3" s="1"/>
  <c r="I86" i="7"/>
  <c r="I90" i="7"/>
  <c r="I99" i="7"/>
  <c r="I87" i="7"/>
  <c r="I104" i="7"/>
  <c r="I91" i="7"/>
  <c r="I99" i="6"/>
  <c r="I89" i="7"/>
  <c r="I114" i="7"/>
  <c r="I94" i="7"/>
  <c r="I95" i="7"/>
  <c r="I89" i="3"/>
  <c r="J108" i="4"/>
  <c r="H98" i="4"/>
  <c r="J113" i="4"/>
  <c r="S22" i="5"/>
  <c r="R23" i="5"/>
  <c r="V23" i="5" s="1"/>
  <c r="S24" i="5"/>
  <c r="S19" i="5"/>
  <c r="S17" i="5"/>
  <c r="R21" i="5"/>
  <c r="V21" i="5" s="1"/>
  <c r="S18" i="5"/>
  <c r="Q26" i="5"/>
  <c r="P20" i="5"/>
  <c r="Q22" i="5"/>
  <c r="Q18" i="5"/>
  <c r="AH18" i="5" s="1"/>
  <c r="Q23" i="5"/>
  <c r="S25" i="5"/>
  <c r="S26" i="5"/>
  <c r="Y26" i="5" s="1"/>
  <c r="S23" i="5"/>
  <c r="R20" i="5"/>
  <c r="R18" i="5"/>
  <c r="V18" i="5" s="1"/>
  <c r="P18" i="5"/>
  <c r="S21" i="5"/>
  <c r="P21" i="5"/>
  <c r="Q20" i="5"/>
  <c r="AH20" i="5" s="1"/>
  <c r="P19" i="5"/>
  <c r="Q24" i="5"/>
  <c r="P26" i="5"/>
  <c r="P24" i="5"/>
  <c r="R22" i="5"/>
  <c r="V22" i="5" s="1"/>
  <c r="Q19" i="5"/>
  <c r="AI19" i="5" s="1"/>
  <c r="R24" i="5"/>
  <c r="V24" i="5" s="1"/>
  <c r="R19" i="5"/>
  <c r="V19" i="5" s="1"/>
  <c r="R26" i="5"/>
  <c r="V26" i="5" s="1"/>
  <c r="Q21" i="5"/>
  <c r="AA21" i="5" s="1"/>
  <c r="P23" i="5"/>
  <c r="Q25" i="5"/>
  <c r="Q11" i="3"/>
  <c r="Q10" i="3"/>
  <c r="Q13" i="3"/>
  <c r="R8" i="3"/>
  <c r="V8" i="3" s="1"/>
  <c r="Q6" i="3"/>
  <c r="AJ6" i="3" s="1"/>
  <c r="R4" i="3"/>
  <c r="V4" i="3" s="1"/>
  <c r="Q9" i="3"/>
  <c r="AJ9" i="3" s="1"/>
  <c r="P13" i="3"/>
  <c r="P6" i="3"/>
  <c r="Q4" i="3"/>
  <c r="Z4" i="3" s="1"/>
  <c r="R23" i="3"/>
  <c r="V23" i="3" s="1"/>
  <c r="Q17" i="3"/>
  <c r="AJ17" i="3" s="1"/>
  <c r="Q23" i="3"/>
  <c r="R26" i="3"/>
  <c r="V26" i="3" s="1"/>
  <c r="S21" i="3"/>
  <c r="S22" i="3"/>
  <c r="P26" i="3"/>
  <c r="P18" i="3"/>
  <c r="S17" i="3"/>
  <c r="R19" i="3"/>
  <c r="V19" i="3" s="1"/>
  <c r="R21" i="3"/>
  <c r="V21" i="3" s="1"/>
  <c r="Q9" i="6"/>
  <c r="W40" i="6"/>
  <c r="R9" i="6"/>
  <c r="V9" i="6" s="1"/>
  <c r="R6" i="6"/>
  <c r="V6" i="6" s="1"/>
  <c r="Q12" i="6"/>
  <c r="R8" i="6"/>
  <c r="Q11" i="6"/>
  <c r="R11" i="6"/>
  <c r="V11" i="6" s="1"/>
  <c r="R7" i="6"/>
  <c r="V7" i="6" s="1"/>
  <c r="S10" i="6"/>
  <c r="R10" i="6"/>
  <c r="V10" i="6" s="1"/>
  <c r="P10" i="6"/>
  <c r="P4" i="6"/>
  <c r="Y53" i="7"/>
  <c r="AC50" i="7"/>
  <c r="T51" i="7"/>
  <c r="T53" i="7"/>
  <c r="AL53" i="7"/>
  <c r="AK54" i="7"/>
  <c r="AK49" i="7"/>
  <c r="AB49" i="7"/>
  <c r="AM50" i="7"/>
  <c r="Y51" i="7"/>
  <c r="S51" i="7"/>
  <c r="AE51" i="7"/>
  <c r="AL50" i="7"/>
  <c r="S49" i="7"/>
  <c r="U49" i="7"/>
  <c r="AC49" i="7"/>
  <c r="P47" i="7"/>
  <c r="R46" i="7"/>
  <c r="V46" i="7" s="1"/>
  <c r="AC52" i="7"/>
  <c r="R51" i="7"/>
  <c r="T49" i="7"/>
  <c r="R47" i="7"/>
  <c r="V47" i="7" s="1"/>
  <c r="Q47" i="7"/>
  <c r="AA47" i="7" s="1"/>
  <c r="Y49" i="7"/>
  <c r="R48" i="7"/>
  <c r="V48" i="7" s="1"/>
  <c r="AM49" i="7"/>
  <c r="W50" i="7"/>
  <c r="S53" i="7"/>
  <c r="T52" i="7"/>
  <c r="X54" i="7"/>
  <c r="AE50" i="7"/>
  <c r="AL54" i="7"/>
  <c r="W53" i="7"/>
  <c r="AK50" i="7"/>
  <c r="P17" i="5"/>
  <c r="P25" i="5"/>
  <c r="Q17" i="5"/>
  <c r="AG17" i="5" s="1"/>
  <c r="P22" i="5"/>
  <c r="R17" i="5"/>
  <c r="V17" i="5" s="1"/>
  <c r="R25" i="5"/>
  <c r="V25" i="5" s="1"/>
  <c r="Q52" i="6"/>
  <c r="S48" i="6"/>
  <c r="Q53" i="6"/>
  <c r="Q49" i="6"/>
  <c r="AJ49" i="6" s="1"/>
  <c r="S51" i="6"/>
  <c r="P49" i="6"/>
  <c r="R50" i="6"/>
  <c r="V50" i="6" s="1"/>
  <c r="R44" i="6"/>
  <c r="V44" i="6" s="1"/>
  <c r="R45" i="6"/>
  <c r="V45" i="6" s="1"/>
  <c r="S46" i="6"/>
  <c r="R51" i="6"/>
  <c r="V51" i="6" s="1"/>
  <c r="S53" i="6"/>
  <c r="W53" i="6" s="1"/>
  <c r="S52" i="6"/>
  <c r="Y52" i="6" s="1"/>
  <c r="P52" i="6"/>
  <c r="P53" i="6"/>
  <c r="P51" i="6"/>
  <c r="R52" i="6"/>
  <c r="V52" i="6" s="1"/>
  <c r="Q51" i="6"/>
  <c r="Q45" i="6"/>
  <c r="AI45" i="6" s="1"/>
  <c r="S50" i="6"/>
  <c r="S49" i="6"/>
  <c r="R49" i="6"/>
  <c r="V49" i="6" s="1"/>
  <c r="Q47" i="6"/>
  <c r="AA47" i="6" s="1"/>
  <c r="R48" i="6"/>
  <c r="V48" i="6" s="1"/>
  <c r="S47" i="6"/>
  <c r="P47" i="6"/>
  <c r="S44" i="6"/>
  <c r="S45" i="6"/>
  <c r="Q44" i="6"/>
  <c r="AJ44" i="6" s="1"/>
  <c r="P45" i="6"/>
  <c r="P48" i="6"/>
  <c r="Q48" i="6"/>
  <c r="AH48" i="6" s="1"/>
  <c r="R46" i="6"/>
  <c r="V46" i="6" s="1"/>
  <c r="Q50" i="6"/>
  <c r="P46" i="6"/>
  <c r="P50" i="6"/>
  <c r="Q23" i="4"/>
  <c r="R26" i="4"/>
  <c r="P26" i="4"/>
  <c r="Q19" i="4"/>
  <c r="AA19" i="4" s="1"/>
  <c r="S26" i="4"/>
  <c r="W26" i="4" s="1"/>
  <c r="S25" i="4"/>
  <c r="Y25" i="4" s="1"/>
  <c r="P17" i="4"/>
  <c r="P25" i="4"/>
  <c r="P18" i="4"/>
  <c r="Q21" i="4"/>
  <c r="AG21" i="4" s="1"/>
  <c r="P21" i="4"/>
  <c r="S24" i="4"/>
  <c r="P19" i="4"/>
  <c r="Q26" i="4"/>
  <c r="P24" i="4"/>
  <c r="Q24" i="4"/>
  <c r="S19" i="4"/>
  <c r="P22" i="4"/>
  <c r="S22" i="4"/>
  <c r="P23" i="4"/>
  <c r="Q20" i="4"/>
  <c r="AJ20" i="4" s="1"/>
  <c r="P20" i="4"/>
  <c r="Q22" i="4"/>
  <c r="Q25" i="4"/>
  <c r="R17" i="4"/>
  <c r="V17" i="4" s="1"/>
  <c r="R20" i="4"/>
  <c r="V20" i="4" s="1"/>
  <c r="R22" i="4"/>
  <c r="Q17" i="4"/>
  <c r="AG17" i="4" s="1"/>
  <c r="S17" i="4"/>
  <c r="R18" i="4"/>
  <c r="S21" i="4"/>
  <c r="R23" i="4"/>
  <c r="R25" i="4"/>
  <c r="V25" i="4" s="1"/>
  <c r="R24" i="4"/>
  <c r="R39" i="7"/>
  <c r="P37" i="7"/>
  <c r="R34" i="7"/>
  <c r="Q36" i="7"/>
  <c r="AG36" i="7" s="1"/>
  <c r="X41" i="7"/>
  <c r="U41" i="7"/>
  <c r="P34" i="7"/>
  <c r="U40" i="7"/>
  <c r="R36" i="7"/>
  <c r="V36" i="7" s="1"/>
  <c r="Q41" i="7"/>
  <c r="AB40" i="7"/>
  <c r="R38" i="7"/>
  <c r="AE41" i="7"/>
  <c r="P32" i="7"/>
  <c r="P39" i="7"/>
  <c r="P38" i="7"/>
  <c r="P35" i="7"/>
  <c r="AD40" i="7"/>
  <c r="Y41" i="7"/>
  <c r="R40" i="7"/>
  <c r="V40" i="7"/>
  <c r="X40" i="7"/>
  <c r="AF41" i="7"/>
  <c r="R35" i="7"/>
  <c r="AC41" i="7"/>
  <c r="P40" i="7"/>
  <c r="Q39" i="7"/>
  <c r="R41" i="7"/>
  <c r="Y40" i="7"/>
  <c r="Q40" i="7"/>
  <c r="AD41" i="7"/>
  <c r="Q33" i="7"/>
  <c r="AI33" i="7" s="1"/>
  <c r="W40" i="7"/>
  <c r="V41" i="7"/>
  <c r="P41" i="7"/>
  <c r="R37" i="7"/>
  <c r="AK41" i="7"/>
  <c r="Q32" i="7"/>
  <c r="AG32" i="7" s="1"/>
  <c r="AK40" i="7"/>
  <c r="Q37" i="7"/>
  <c r="AE40" i="7"/>
  <c r="R33" i="7"/>
  <c r="V33" i="7" s="1"/>
  <c r="Q38" i="7"/>
  <c r="R32" i="7"/>
  <c r="V32" i="7" s="1"/>
  <c r="AL41" i="7"/>
  <c r="Q35" i="7"/>
  <c r="AI35" i="7" s="1"/>
  <c r="AM41" i="7"/>
  <c r="W41" i="7"/>
  <c r="P33" i="7"/>
  <c r="Q34" i="7"/>
  <c r="Z34" i="7" s="1"/>
  <c r="AC40" i="7"/>
  <c r="R47" i="6"/>
  <c r="V47" i="6" s="1"/>
  <c r="Q46" i="6"/>
  <c r="AH46" i="6" s="1"/>
  <c r="P44" i="6"/>
  <c r="S9" i="2"/>
  <c r="P5" i="2"/>
  <c r="Q7" i="2"/>
  <c r="AJ7" i="2" s="1"/>
  <c r="P8" i="2"/>
  <c r="P7" i="2"/>
  <c r="Q10" i="2"/>
  <c r="AA10" i="2" s="1"/>
  <c r="R53" i="6"/>
  <c r="Q12" i="3"/>
  <c r="S10" i="3"/>
  <c r="R12" i="3"/>
  <c r="V12" i="3" s="1"/>
  <c r="S5" i="3"/>
  <c r="P11" i="3"/>
  <c r="Q5" i="3"/>
  <c r="AJ5" i="3" s="1"/>
  <c r="S7" i="3"/>
  <c r="P12" i="3"/>
  <c r="R13" i="3"/>
  <c r="V13" i="3" s="1"/>
  <c r="S11" i="3"/>
  <c r="R6" i="3"/>
  <c r="V6" i="3" s="1"/>
  <c r="P7" i="3"/>
  <c r="R11" i="3"/>
  <c r="V11" i="3" s="1"/>
  <c r="Q8" i="3"/>
  <c r="Z8" i="3" s="1"/>
  <c r="S12" i="3"/>
  <c r="S13" i="3"/>
  <c r="R7" i="3"/>
  <c r="V7" i="3" s="1"/>
  <c r="S8" i="3"/>
  <c r="P4" i="3"/>
  <c r="P8" i="3"/>
  <c r="S4" i="3"/>
  <c r="S6" i="3"/>
  <c r="P5" i="3"/>
  <c r="R9" i="3"/>
  <c r="Q18" i="3"/>
  <c r="Z18" i="3" s="1"/>
  <c r="P22" i="3"/>
  <c r="S23" i="3"/>
  <c r="Q20" i="3"/>
  <c r="Z20" i="3" s="1"/>
  <c r="Q26" i="3"/>
  <c r="R17" i="3"/>
  <c r="V17" i="3" s="1"/>
  <c r="R25" i="3"/>
  <c r="V25" i="3" s="1"/>
  <c r="P25" i="3"/>
  <c r="P24" i="3"/>
  <c r="R24" i="3"/>
  <c r="V24" i="3" s="1"/>
  <c r="P21" i="3"/>
  <c r="P17" i="3"/>
  <c r="Q21" i="3"/>
  <c r="AJ21" i="3" s="1"/>
  <c r="S20" i="3"/>
  <c r="P20" i="3"/>
  <c r="P23" i="3"/>
  <c r="S24" i="3"/>
  <c r="P19" i="3"/>
  <c r="S18" i="3"/>
  <c r="Q24" i="3"/>
  <c r="R20" i="3"/>
  <c r="V20" i="3" s="1"/>
  <c r="R22" i="3"/>
  <c r="V22" i="3" s="1"/>
  <c r="Q22" i="3"/>
  <c r="Z22" i="3" s="1"/>
  <c r="R18" i="3"/>
  <c r="V18" i="3" s="1"/>
  <c r="Q25" i="3"/>
  <c r="S26" i="3"/>
  <c r="R4" i="6"/>
  <c r="V4" i="6" s="1"/>
  <c r="P9" i="6"/>
  <c r="R5" i="6"/>
  <c r="V5" i="6" s="1"/>
  <c r="P11" i="6"/>
  <c r="S11" i="6"/>
  <c r="P5" i="6"/>
  <c r="Q6" i="6"/>
  <c r="Z6" i="6" s="1"/>
  <c r="P12" i="6"/>
  <c r="P7" i="6"/>
  <c r="R12" i="6"/>
  <c r="V12" i="6" s="1"/>
  <c r="S13" i="6"/>
  <c r="S5" i="6"/>
  <c r="S7" i="6"/>
  <c r="S4" i="6"/>
  <c r="Q13" i="6"/>
  <c r="Q4" i="6"/>
  <c r="Z4" i="6" s="1"/>
  <c r="Q10" i="6"/>
  <c r="R13" i="6"/>
  <c r="V13" i="6" s="1"/>
  <c r="Q8" i="6"/>
  <c r="Z8" i="6" s="1"/>
  <c r="S12" i="6"/>
  <c r="Q5" i="6"/>
  <c r="Z5" i="6" s="1"/>
  <c r="S6" i="6"/>
  <c r="Q7" i="6"/>
  <c r="Z7" i="6" s="1"/>
  <c r="S9" i="6"/>
  <c r="V50" i="7"/>
  <c r="P51" i="7"/>
  <c r="Q46" i="7"/>
  <c r="Z46" i="7" s="1"/>
  <c r="AB52" i="7"/>
  <c r="AF50" i="7"/>
  <c r="Q54" i="7"/>
  <c r="AB53" i="7"/>
  <c r="AE52" i="7"/>
  <c r="AD53" i="7"/>
  <c r="Q53" i="7"/>
  <c r="AM54" i="7"/>
  <c r="AB54" i="7"/>
  <c r="U53" i="7"/>
  <c r="P54" i="7"/>
  <c r="X50" i="7"/>
  <c r="AC53" i="7"/>
  <c r="U54" i="7"/>
  <c r="AK52" i="7"/>
  <c r="AD49" i="7"/>
  <c r="V53" i="7"/>
  <c r="P46" i="7"/>
  <c r="AB50" i="7"/>
  <c r="AC51" i="7"/>
  <c r="AE54" i="7"/>
  <c r="R50" i="7"/>
  <c r="AE53" i="7"/>
  <c r="S47" i="7"/>
  <c r="U51" i="7"/>
  <c r="Q49" i="7"/>
  <c r="Q45" i="7"/>
  <c r="Z45" i="7" s="1"/>
  <c r="V52" i="7"/>
  <c r="S52" i="7"/>
  <c r="AD50" i="7"/>
  <c r="Q50" i="7"/>
  <c r="Y54" i="7"/>
  <c r="W52" i="7"/>
  <c r="Q48" i="7"/>
  <c r="R54" i="7"/>
  <c r="U52" i="7"/>
  <c r="P45" i="7"/>
  <c r="R52" i="7"/>
  <c r="P48" i="7"/>
  <c r="W51" i="7"/>
  <c r="AF53" i="7"/>
  <c r="AD52" i="7"/>
  <c r="W49" i="7"/>
  <c r="Q52" i="7"/>
  <c r="Y50" i="7"/>
  <c r="AL51" i="7"/>
  <c r="AC54" i="7"/>
  <c r="AK51" i="7"/>
  <c r="S54" i="7"/>
  <c r="AD54" i="7"/>
  <c r="X52" i="7"/>
  <c r="AL52" i="7"/>
  <c r="V54" i="7"/>
  <c r="AF54" i="7"/>
  <c r="T50" i="7"/>
  <c r="AK53" i="7"/>
  <c r="P52" i="7"/>
  <c r="R53" i="7"/>
  <c r="P49" i="7"/>
  <c r="Q51" i="7"/>
  <c r="AM53" i="7"/>
  <c r="X49" i="7"/>
  <c r="U50" i="7"/>
  <c r="S45" i="7"/>
  <c r="AM52" i="7"/>
  <c r="AF51" i="7"/>
  <c r="W54" i="7"/>
  <c r="AF49" i="7"/>
  <c r="S46" i="7"/>
  <c r="Y52" i="7"/>
  <c r="X51" i="7"/>
  <c r="AB51" i="7"/>
  <c r="K110" i="5"/>
  <c r="K92" i="5"/>
  <c r="K81" i="5"/>
  <c r="K112" i="5"/>
  <c r="K98" i="5"/>
  <c r="K105" i="5"/>
  <c r="K94" i="5"/>
  <c r="K84" i="5"/>
  <c r="K95" i="5"/>
  <c r="K97" i="5"/>
  <c r="K91" i="5"/>
  <c r="K100" i="5"/>
  <c r="K99" i="5"/>
  <c r="K85" i="5"/>
  <c r="K101" i="5"/>
  <c r="K86" i="5"/>
  <c r="K111" i="5"/>
  <c r="K106" i="5"/>
  <c r="K88" i="5"/>
  <c r="K90" i="5"/>
  <c r="K89" i="5"/>
  <c r="K96" i="5"/>
  <c r="AD111" i="2"/>
  <c r="AD101" i="2"/>
  <c r="AD99" i="2"/>
  <c r="AD98" i="2"/>
  <c r="AD115" i="2"/>
  <c r="AD96" i="2"/>
  <c r="AD95" i="2"/>
  <c r="AD121" i="2"/>
  <c r="AD106" i="2"/>
  <c r="AD103" i="2"/>
  <c r="AD93" i="2"/>
  <c r="AD122" i="2"/>
  <c r="AD120" i="2"/>
  <c r="AD110" i="2"/>
  <c r="AD114" i="2"/>
  <c r="AD112" i="2"/>
  <c r="AD102" i="2"/>
  <c r="AD113" i="2"/>
  <c r="AD107" i="2"/>
  <c r="AD89" i="2"/>
  <c r="AD91" i="2"/>
  <c r="AD104" i="2"/>
  <c r="AD109" i="2"/>
  <c r="AD118" i="2"/>
  <c r="AD100" i="2"/>
  <c r="AD117" i="2"/>
  <c r="AD105" i="2"/>
  <c r="AD90" i="2"/>
  <c r="AD92" i="2"/>
  <c r="AD108" i="2"/>
  <c r="AD119" i="2"/>
  <c r="AD94" i="2"/>
  <c r="AD97" i="2"/>
  <c r="K87" i="5"/>
  <c r="K103" i="5"/>
  <c r="Q11" i="2"/>
  <c r="Q4" i="2"/>
  <c r="AG4" i="2" s="1"/>
  <c r="S8" i="2"/>
  <c r="S7" i="2"/>
  <c r="P10" i="2"/>
  <c r="P12" i="2"/>
  <c r="R8" i="2"/>
  <c r="V8" i="2" s="1"/>
  <c r="R5" i="2"/>
  <c r="V5" i="2" s="1"/>
  <c r="R12" i="2"/>
  <c r="V12" i="2" s="1"/>
  <c r="S10" i="2"/>
  <c r="Q12" i="2"/>
  <c r="Q5" i="2"/>
  <c r="AA5" i="2" s="1"/>
  <c r="S4" i="2"/>
  <c r="R6" i="2"/>
  <c r="V6" i="2" s="1"/>
  <c r="P13" i="2"/>
  <c r="Q6" i="2"/>
  <c r="AG6" i="2" s="1"/>
  <c r="S6" i="2"/>
  <c r="Q13" i="2"/>
  <c r="R7" i="2"/>
  <c r="V7" i="2" s="1"/>
  <c r="Q8" i="2"/>
  <c r="AG8" i="2" s="1"/>
  <c r="P6" i="2"/>
  <c r="S5" i="2"/>
  <c r="S13" i="2"/>
  <c r="R10" i="2"/>
  <c r="V10" i="2" s="1"/>
  <c r="R4" i="2"/>
  <c r="V4" i="2" s="1"/>
  <c r="R13" i="2"/>
  <c r="V13" i="2" s="1"/>
  <c r="P11" i="2"/>
  <c r="R11" i="2"/>
  <c r="P4" i="2"/>
  <c r="S12" i="2"/>
  <c r="R9" i="2"/>
  <c r="P9" i="2"/>
  <c r="K107" i="5"/>
  <c r="K104" i="5"/>
  <c r="R11" i="5"/>
  <c r="V11" i="5" s="1"/>
  <c r="R8" i="5"/>
  <c r="V8" i="5" s="1"/>
  <c r="S4" i="5"/>
  <c r="S9" i="5"/>
  <c r="S7" i="5"/>
  <c r="Q9" i="5"/>
  <c r="AH9" i="5" s="1"/>
  <c r="R4" i="5"/>
  <c r="V4" i="5" s="1"/>
  <c r="Q6" i="5"/>
  <c r="AJ6" i="5" s="1"/>
  <c r="Q4" i="5"/>
  <c r="AH4" i="5" s="1"/>
  <c r="P11" i="5"/>
  <c r="K109" i="5"/>
  <c r="AD116" i="2"/>
  <c r="K83" i="5"/>
  <c r="K82" i="5"/>
  <c r="K80" i="5"/>
  <c r="R11" i="4"/>
  <c r="S9" i="4"/>
  <c r="R49" i="7"/>
  <c r="P53" i="7"/>
  <c r="T54" i="7"/>
  <c r="AD51" i="7"/>
  <c r="AL49" i="7"/>
  <c r="P50" i="7"/>
  <c r="R45" i="7"/>
  <c r="P33" i="5"/>
  <c r="R39" i="5"/>
  <c r="V39" i="5" s="1"/>
  <c r="R32" i="5"/>
  <c r="V32" i="5" s="1"/>
  <c r="Q34" i="5"/>
  <c r="AH34" i="5" s="1"/>
  <c r="Q39" i="5"/>
  <c r="Q37" i="5"/>
  <c r="R34" i="5"/>
  <c r="V34" i="5" s="1"/>
  <c r="Q38" i="5"/>
  <c r="P35" i="5"/>
  <c r="Q35" i="5"/>
  <c r="Z35" i="5" s="1"/>
  <c r="R37" i="5"/>
  <c r="V37" i="5" s="1"/>
  <c r="P36" i="5"/>
  <c r="R30" i="5"/>
  <c r="V30" i="5" s="1"/>
  <c r="Q31" i="5"/>
  <c r="Z31" i="5" s="1"/>
  <c r="R33" i="5"/>
  <c r="V33" i="5" s="1"/>
  <c r="Q13" i="4"/>
  <c r="S5" i="4"/>
  <c r="P11" i="4"/>
  <c r="R12" i="4"/>
  <c r="S13" i="4"/>
  <c r="S8" i="4"/>
  <c r="R13" i="4"/>
  <c r="P6" i="4"/>
  <c r="S6" i="4"/>
  <c r="R4" i="4"/>
  <c r="V4" i="4" s="1"/>
  <c r="P5" i="4"/>
  <c r="R7" i="4"/>
  <c r="Q10" i="4"/>
  <c r="Q7" i="4"/>
  <c r="Z7" i="4" s="1"/>
  <c r="R10" i="4"/>
  <c r="P12" i="4"/>
  <c r="R6" i="4"/>
  <c r="R8" i="4"/>
  <c r="P9" i="4"/>
  <c r="S4" i="4"/>
  <c r="R9" i="4"/>
  <c r="V9" i="4" s="1"/>
  <c r="P13" i="4"/>
  <c r="Q8" i="4"/>
  <c r="AI8" i="4" s="1"/>
  <c r="P4" i="4"/>
  <c r="Q4" i="4"/>
  <c r="AA4" i="4" s="1"/>
  <c r="Q11" i="4"/>
  <c r="S11" i="4"/>
  <c r="P7" i="4"/>
  <c r="S7" i="4"/>
  <c r="R5" i="4"/>
  <c r="V5" i="4" s="1"/>
  <c r="P10" i="4"/>
  <c r="P8" i="4"/>
  <c r="Q12" i="4"/>
  <c r="S12" i="4"/>
  <c r="R10" i="3"/>
  <c r="P10" i="3"/>
  <c r="D44" i="3"/>
  <c r="Q9" i="4"/>
  <c r="H85" i="4"/>
  <c r="J107" i="4"/>
  <c r="J111" i="4"/>
  <c r="J112" i="3"/>
  <c r="D68" i="6"/>
  <c r="D70" i="6" s="1"/>
  <c r="H103" i="6" s="1"/>
  <c r="D61" i="6"/>
  <c r="M9" i="6" s="1"/>
  <c r="G62" i="7"/>
  <c r="M37" i="7" s="1"/>
  <c r="H44" i="7"/>
  <c r="G69" i="7"/>
  <c r="G71" i="7" s="1"/>
  <c r="J87" i="7" s="1"/>
  <c r="J89" i="4"/>
  <c r="J105" i="4"/>
  <c r="J112" i="4"/>
  <c r="J88" i="4"/>
  <c r="J84" i="4"/>
  <c r="J93" i="4"/>
  <c r="J95" i="4"/>
  <c r="J96" i="4"/>
  <c r="J104" i="4"/>
  <c r="J83" i="4"/>
  <c r="J86" i="4"/>
  <c r="J99" i="4"/>
  <c r="J103" i="4"/>
  <c r="J97" i="4"/>
  <c r="J94" i="4"/>
  <c r="J101" i="4"/>
  <c r="J80" i="4"/>
  <c r="J106" i="4"/>
  <c r="J87" i="4"/>
  <c r="H96" i="4"/>
  <c r="H113" i="4"/>
  <c r="H89" i="4"/>
  <c r="H87" i="4"/>
  <c r="H92" i="4"/>
  <c r="H82" i="4"/>
  <c r="H83" i="4"/>
  <c r="H110" i="4"/>
  <c r="H107" i="4"/>
  <c r="H80" i="4"/>
  <c r="H106" i="4"/>
  <c r="H81" i="4"/>
  <c r="H94" i="4"/>
  <c r="H109" i="4"/>
  <c r="H102" i="4"/>
  <c r="H112" i="4"/>
  <c r="H86" i="4"/>
  <c r="H104" i="4"/>
  <c r="H93" i="4"/>
  <c r="H100" i="4"/>
  <c r="H105" i="4"/>
  <c r="H88" i="4"/>
  <c r="I107" i="7"/>
  <c r="I83" i="7"/>
  <c r="I115" i="7"/>
  <c r="I99" i="8"/>
  <c r="I87" i="8"/>
  <c r="D46" i="5"/>
  <c r="D67" i="5"/>
  <c r="D69" i="5" s="1"/>
  <c r="H80" i="5" s="1"/>
  <c r="H97" i="4"/>
  <c r="H111" i="4"/>
  <c r="I113" i="8"/>
  <c r="J102" i="3"/>
  <c r="G61" i="3"/>
  <c r="M36" i="3" s="1"/>
  <c r="D61" i="3"/>
  <c r="M9" i="3" s="1"/>
  <c r="D68" i="3"/>
  <c r="D70" i="3" s="1"/>
  <c r="H103" i="3" s="1"/>
  <c r="H108" i="4"/>
  <c r="H103" i="4"/>
  <c r="I80" i="8"/>
  <c r="J85" i="4"/>
  <c r="J104" i="3"/>
  <c r="J90" i="3"/>
  <c r="J82" i="4"/>
  <c r="G42" i="5"/>
  <c r="G67" i="5"/>
  <c r="G69" i="5" s="1"/>
  <c r="J87" i="5" s="1"/>
  <c r="G60" i="5"/>
  <c r="M35" i="5" s="1"/>
  <c r="G45" i="7"/>
  <c r="J100" i="4"/>
  <c r="J114" i="3"/>
  <c r="J83" i="3"/>
  <c r="J110" i="4"/>
  <c r="G43" i="4"/>
  <c r="G48" i="4" s="1"/>
  <c r="M34" i="4" s="1"/>
  <c r="G47" i="4"/>
  <c r="M33" i="4" s="1"/>
  <c r="I93" i="3"/>
  <c r="I109" i="3"/>
  <c r="I99" i="3"/>
  <c r="I113" i="3"/>
  <c r="I86" i="3"/>
  <c r="I100" i="3"/>
  <c r="I88" i="3"/>
  <c r="I105" i="3"/>
  <c r="I94" i="3"/>
  <c r="I83" i="3"/>
  <c r="I107" i="3"/>
  <c r="I111" i="3"/>
  <c r="I90" i="3"/>
  <c r="I96" i="3"/>
  <c r="I81" i="3"/>
  <c r="I106" i="3"/>
  <c r="I92" i="3"/>
  <c r="I91" i="3"/>
  <c r="H61" i="6"/>
  <c r="M49" i="6" s="1"/>
  <c r="H68" i="6"/>
  <c r="H70" i="6" s="1"/>
  <c r="I95" i="3"/>
  <c r="H95" i="4"/>
  <c r="I103" i="3"/>
  <c r="J102" i="4"/>
  <c r="J99" i="3"/>
  <c r="J81" i="4"/>
  <c r="J89" i="6"/>
  <c r="J102" i="6"/>
  <c r="J112" i="6"/>
  <c r="J103" i="6"/>
  <c r="J109" i="6"/>
  <c r="J97" i="6"/>
  <c r="D69" i="7"/>
  <c r="D71" i="7" s="1"/>
  <c r="H101" i="7" s="1"/>
  <c r="D48" i="7"/>
  <c r="H101" i="4"/>
  <c r="E60" i="2"/>
  <c r="M22" i="2" s="1"/>
  <c r="J109" i="4"/>
  <c r="J92" i="3"/>
  <c r="J96" i="3"/>
  <c r="J106" i="3"/>
  <c r="J109" i="3"/>
  <c r="J103" i="3"/>
  <c r="J85" i="3"/>
  <c r="J105" i="3"/>
  <c r="J95" i="3"/>
  <c r="J101" i="3"/>
  <c r="J86" i="3"/>
  <c r="J94" i="3"/>
  <c r="J82" i="3"/>
  <c r="J88" i="3"/>
  <c r="J89" i="3"/>
  <c r="J87" i="3"/>
  <c r="J113" i="3"/>
  <c r="J98" i="3"/>
  <c r="J100" i="3"/>
  <c r="J107" i="3"/>
  <c r="J110" i="3"/>
  <c r="J97" i="3"/>
  <c r="J111" i="3"/>
  <c r="E43" i="6"/>
  <c r="E48" i="6" s="1"/>
  <c r="M20" i="6" s="1"/>
  <c r="D44" i="6"/>
  <c r="D48" i="6"/>
  <c r="M7" i="6" s="1"/>
  <c r="G60" i="8"/>
  <c r="M35" i="8" s="1"/>
  <c r="G42" i="8"/>
  <c r="G67" i="8"/>
  <c r="G69" i="8" s="1"/>
  <c r="J103" i="8" s="1"/>
  <c r="D67" i="9"/>
  <c r="D69" i="9" s="1"/>
  <c r="G88" i="9" s="1"/>
  <c r="Q48" i="5"/>
  <c r="AH48" i="5" s="1"/>
  <c r="P52" i="5"/>
  <c r="S47" i="5"/>
  <c r="P47" i="5"/>
  <c r="R51" i="5"/>
  <c r="Q45" i="5"/>
  <c r="Z45" i="5" s="1"/>
  <c r="Q51" i="5"/>
  <c r="S48" i="5"/>
  <c r="S51" i="5"/>
  <c r="Y51" i="5" s="1"/>
  <c r="R48" i="5"/>
  <c r="S44" i="5"/>
  <c r="S49" i="5"/>
  <c r="R52" i="5"/>
  <c r="Q49" i="5"/>
  <c r="AJ49" i="5" s="1"/>
  <c r="R49" i="5"/>
  <c r="P48" i="5"/>
  <c r="P49" i="5"/>
  <c r="P45" i="5"/>
  <c r="P43" i="5"/>
  <c r="P44" i="5"/>
  <c r="R46" i="5"/>
  <c r="S50" i="5"/>
  <c r="Q47" i="5"/>
  <c r="Z47" i="5" s="1"/>
  <c r="P46" i="5"/>
  <c r="S43" i="5"/>
  <c r="S52" i="5"/>
  <c r="Q50" i="5"/>
  <c r="R43" i="5"/>
  <c r="P51" i="5"/>
  <c r="P4" i="5"/>
  <c r="S12" i="5"/>
  <c r="Y12" i="5" s="1"/>
  <c r="P12" i="5"/>
  <c r="P9" i="5"/>
  <c r="P7" i="5"/>
  <c r="S11" i="5"/>
  <c r="R6" i="5"/>
  <c r="Q5" i="5"/>
  <c r="AG5" i="5" s="1"/>
  <c r="P13" i="5"/>
  <c r="S5" i="5"/>
  <c r="Q7" i="5"/>
  <c r="AJ7" i="5" s="1"/>
  <c r="S6" i="5"/>
  <c r="R12" i="5"/>
  <c r="Q11" i="5"/>
  <c r="R9" i="5"/>
  <c r="R7" i="5"/>
  <c r="Q8" i="5"/>
  <c r="AA8" i="5" s="1"/>
  <c r="P5" i="5"/>
  <c r="P10" i="5"/>
  <c r="Q13" i="5"/>
  <c r="Q10" i="5"/>
  <c r="P8" i="5"/>
  <c r="S8" i="5"/>
  <c r="S10" i="5"/>
  <c r="S13" i="5"/>
  <c r="Q12" i="5"/>
  <c r="R10" i="5"/>
  <c r="R13" i="5"/>
  <c r="P6" i="5"/>
  <c r="R5" i="5"/>
  <c r="AI10" i="9" l="1"/>
  <c r="AK10" i="9"/>
  <c r="I108" i="6"/>
  <c r="W35" i="5"/>
  <c r="AA49" i="5"/>
  <c r="AI49" i="5"/>
  <c r="Z49" i="5"/>
  <c r="AG49" i="5"/>
  <c r="AH49" i="5"/>
  <c r="W34" i="5"/>
  <c r="Y36" i="5"/>
  <c r="I96" i="6"/>
  <c r="I94" i="6"/>
  <c r="I84" i="6"/>
  <c r="Y35" i="5"/>
  <c r="Y34" i="5"/>
  <c r="W36" i="5"/>
  <c r="X36" i="5"/>
  <c r="X35" i="5"/>
  <c r="X34" i="5"/>
  <c r="AJ9" i="9"/>
  <c r="AI9" i="9"/>
  <c r="G48" i="6"/>
  <c r="M34" i="6" s="1"/>
  <c r="M37" i="6" s="1"/>
  <c r="G51" i="6" s="1"/>
  <c r="G50" i="6" s="1"/>
  <c r="K111" i="7"/>
  <c r="K105" i="7"/>
  <c r="J88" i="7"/>
  <c r="D43" i="4"/>
  <c r="E43" i="4" s="1"/>
  <c r="AJ8" i="9"/>
  <c r="AK8" i="9"/>
  <c r="I107" i="4"/>
  <c r="I109" i="4"/>
  <c r="I87" i="4"/>
  <c r="I110" i="4"/>
  <c r="AK7" i="9"/>
  <c r="AK6" i="9"/>
  <c r="AK5" i="9"/>
  <c r="AK4" i="9"/>
  <c r="Z7" i="9"/>
  <c r="AH9" i="9"/>
  <c r="AL6" i="9"/>
  <c r="Z5" i="9"/>
  <c r="AI4" i="9"/>
  <c r="AI7" i="9"/>
  <c r="AI6" i="9"/>
  <c r="AI5" i="9"/>
  <c r="AG4" i="9"/>
  <c r="E48" i="9"/>
  <c r="M8" i="9" s="1"/>
  <c r="E47" i="9"/>
  <c r="M7" i="9" s="1"/>
  <c r="T9" i="9" s="1"/>
  <c r="U9" i="9" s="1"/>
  <c r="Z36" i="5"/>
  <c r="AG36" i="5"/>
  <c r="AI36" i="5"/>
  <c r="AA36" i="5"/>
  <c r="AH36" i="5"/>
  <c r="AL10" i="9"/>
  <c r="AA9" i="9"/>
  <c r="Z9" i="9"/>
  <c r="Z10" i="9"/>
  <c r="AG10" i="9"/>
  <c r="AL9" i="9"/>
  <c r="AH10" i="9"/>
  <c r="AG9" i="9"/>
  <c r="AA10" i="9"/>
  <c r="AL8" i="9"/>
  <c r="AH8" i="9"/>
  <c r="AG8" i="9"/>
  <c r="Z8" i="9"/>
  <c r="AA8" i="9"/>
  <c r="G85" i="9"/>
  <c r="AH21" i="2"/>
  <c r="AJ21" i="2"/>
  <c r="AL7" i="9"/>
  <c r="AL5" i="9"/>
  <c r="AL4" i="9"/>
  <c r="AH7" i="9"/>
  <c r="AH6" i="9"/>
  <c r="AH5" i="9"/>
  <c r="AH4" i="9"/>
  <c r="AG7" i="9"/>
  <c r="AG6" i="9"/>
  <c r="AG5" i="9"/>
  <c r="AA7" i="9"/>
  <c r="AA6" i="9"/>
  <c r="AA5" i="9"/>
  <c r="AA4" i="9"/>
  <c r="Z6" i="9"/>
  <c r="Z4" i="9"/>
  <c r="G101" i="9"/>
  <c r="G112" i="9"/>
  <c r="G104" i="9"/>
  <c r="G93" i="9"/>
  <c r="G102" i="9"/>
  <c r="AJ9" i="8"/>
  <c r="AJ8" i="8"/>
  <c r="AJ7" i="8"/>
  <c r="AJ6" i="8"/>
  <c r="AJ5" i="8"/>
  <c r="AI8" i="8"/>
  <c r="AJ4" i="8"/>
  <c r="AI6" i="8"/>
  <c r="AI9" i="8"/>
  <c r="AI5" i="8"/>
  <c r="AI4" i="8"/>
  <c r="AH7" i="8"/>
  <c r="AH6" i="8"/>
  <c r="AH9" i="8"/>
  <c r="AH5" i="8"/>
  <c r="AH4" i="8"/>
  <c r="AG7" i="8"/>
  <c r="AG6" i="8"/>
  <c r="AG8" i="8"/>
  <c r="AG5" i="8"/>
  <c r="AG4" i="8"/>
  <c r="AJ21" i="8"/>
  <c r="AJ20" i="8"/>
  <c r="AK20" i="8" s="1"/>
  <c r="AN20" i="8" s="1"/>
  <c r="AJ22" i="8"/>
  <c r="AJ19" i="8"/>
  <c r="AK19" i="8" s="1"/>
  <c r="AN19" i="8" s="1"/>
  <c r="AJ18" i="8"/>
  <c r="AM18" i="8" s="1"/>
  <c r="AJ17" i="8"/>
  <c r="AI22" i="8"/>
  <c r="AI21" i="8"/>
  <c r="AI20" i="8"/>
  <c r="AI19" i="8"/>
  <c r="AI17" i="8"/>
  <c r="AH21" i="8"/>
  <c r="AH20" i="8"/>
  <c r="AH19" i="8"/>
  <c r="AH18" i="8"/>
  <c r="AH17" i="8"/>
  <c r="AG22" i="8"/>
  <c r="AG21" i="8"/>
  <c r="AG18" i="8"/>
  <c r="AJ35" i="8"/>
  <c r="AJ34" i="8"/>
  <c r="AJ33" i="8"/>
  <c r="AJ31" i="8"/>
  <c r="AI35" i="8"/>
  <c r="AI33" i="8"/>
  <c r="AI32" i="8"/>
  <c r="AI31" i="8"/>
  <c r="AH34" i="8"/>
  <c r="AI30" i="8"/>
  <c r="AH33" i="8"/>
  <c r="AH32" i="8"/>
  <c r="AH35" i="8"/>
  <c r="AH31" i="8"/>
  <c r="AH30" i="8"/>
  <c r="AG35" i="8"/>
  <c r="AG34" i="8"/>
  <c r="AG33" i="8"/>
  <c r="AG32" i="8"/>
  <c r="AA34" i="8"/>
  <c r="AG30" i="8"/>
  <c r="AA33" i="8"/>
  <c r="AA32" i="8"/>
  <c r="AA31" i="8"/>
  <c r="AD31" i="8" s="1"/>
  <c r="AA30" i="8"/>
  <c r="AA22" i="8"/>
  <c r="AD22" i="8" s="1"/>
  <c r="AA21" i="8"/>
  <c r="AD21" i="8" s="1"/>
  <c r="AA20" i="8"/>
  <c r="AD20" i="8" s="1"/>
  <c r="AA19" i="8"/>
  <c r="AD19" i="8" s="1"/>
  <c r="AA18" i="8"/>
  <c r="AD18" i="8" s="1"/>
  <c r="AA17" i="8"/>
  <c r="AD17" i="8" s="1"/>
  <c r="AA9" i="8"/>
  <c r="AD9" i="8" s="1"/>
  <c r="AA8" i="8"/>
  <c r="AD8" i="8" s="1"/>
  <c r="AA7" i="8"/>
  <c r="AD7" i="8" s="1"/>
  <c r="AA5" i="8"/>
  <c r="AD5" i="8" s="1"/>
  <c r="AA4" i="8"/>
  <c r="AD4" i="8" s="1"/>
  <c r="Z34" i="8"/>
  <c r="Z35" i="8"/>
  <c r="Z32" i="8"/>
  <c r="Z31" i="8"/>
  <c r="Z30" i="8"/>
  <c r="Z20" i="8"/>
  <c r="AC20" i="8" s="1"/>
  <c r="AC21" i="8"/>
  <c r="Z19" i="8"/>
  <c r="AC19" i="8" s="1"/>
  <c r="Z22" i="8"/>
  <c r="AC22" i="8" s="1"/>
  <c r="Z18" i="8"/>
  <c r="AC18" i="8" s="1"/>
  <c r="Z17" i="8"/>
  <c r="AC17" i="8" s="1"/>
  <c r="Z9" i="8"/>
  <c r="AC9" i="8" s="1"/>
  <c r="Z7" i="8"/>
  <c r="AC7" i="8" s="1"/>
  <c r="Z8" i="8"/>
  <c r="AC8" i="8" s="1"/>
  <c r="Z6" i="8"/>
  <c r="AC6" i="8" s="1"/>
  <c r="AJ47" i="7"/>
  <c r="AJ46" i="7"/>
  <c r="AJ45" i="7"/>
  <c r="AI47" i="7"/>
  <c r="AI46" i="7"/>
  <c r="AI45" i="7"/>
  <c r="AH47" i="7"/>
  <c r="AH46" i="7"/>
  <c r="AH45" i="7"/>
  <c r="AG47" i="7"/>
  <c r="AG46" i="7"/>
  <c r="AG45" i="7"/>
  <c r="AJ36" i="7"/>
  <c r="AJ35" i="7"/>
  <c r="AJ34" i="7"/>
  <c r="AJ33" i="7"/>
  <c r="AJ32" i="7"/>
  <c r="AI36" i="7"/>
  <c r="AI34" i="7"/>
  <c r="AI32" i="7"/>
  <c r="AH36" i="7"/>
  <c r="AH35" i="7"/>
  <c r="AH34" i="7"/>
  <c r="AH33" i="7"/>
  <c r="AH32" i="7"/>
  <c r="AG35" i="7"/>
  <c r="AG34" i="7"/>
  <c r="AG33" i="7"/>
  <c r="AJ22" i="7"/>
  <c r="AJ21" i="7"/>
  <c r="AJ20" i="7"/>
  <c r="AJ19" i="7"/>
  <c r="AJ18" i="7"/>
  <c r="AI21" i="7"/>
  <c r="AI20" i="7"/>
  <c r="AI22" i="7"/>
  <c r="AI19" i="7"/>
  <c r="AI18" i="7"/>
  <c r="AI17" i="7"/>
  <c r="AH20" i="7"/>
  <c r="AH19" i="7"/>
  <c r="AH18" i="7"/>
  <c r="AH17" i="7"/>
  <c r="AG22" i="7"/>
  <c r="AG21" i="7"/>
  <c r="AG20" i="7"/>
  <c r="AG18" i="7"/>
  <c r="AG17" i="7"/>
  <c r="AJ7" i="7"/>
  <c r="AJ6" i="7"/>
  <c r="AJ5" i="7"/>
  <c r="AJ4" i="7"/>
  <c r="AI9" i="7"/>
  <c r="AI8" i="7"/>
  <c r="AI7" i="7"/>
  <c r="AI6" i="7"/>
  <c r="AI5" i="7"/>
  <c r="AH9" i="7"/>
  <c r="AH8" i="7"/>
  <c r="AH7" i="7"/>
  <c r="AH6" i="7"/>
  <c r="AH5" i="7"/>
  <c r="AH4" i="7"/>
  <c r="AG9" i="7"/>
  <c r="AG8" i="7"/>
  <c r="AG7" i="7"/>
  <c r="AG5" i="7"/>
  <c r="AG4" i="7"/>
  <c r="AA46" i="7"/>
  <c r="AA45" i="7"/>
  <c r="AA36" i="7"/>
  <c r="AD36" i="7" s="1"/>
  <c r="AA35" i="7"/>
  <c r="AD35" i="7" s="1"/>
  <c r="AA34" i="7"/>
  <c r="AD34" i="7" s="1"/>
  <c r="AA33" i="7"/>
  <c r="AD33" i="7" s="1"/>
  <c r="AA32" i="7"/>
  <c r="AD32" i="7" s="1"/>
  <c r="AA22" i="7"/>
  <c r="AD22" i="7" s="1"/>
  <c r="AA21" i="7"/>
  <c r="AD21" i="7" s="1"/>
  <c r="AA20" i="7"/>
  <c r="AD20" i="7" s="1"/>
  <c r="AA19" i="7"/>
  <c r="AD19" i="7" s="1"/>
  <c r="AA18" i="7"/>
  <c r="AD18" i="7" s="1"/>
  <c r="AA17" i="7"/>
  <c r="AD17" i="7" s="1"/>
  <c r="AA4" i="7"/>
  <c r="AA9" i="7"/>
  <c r="AA8" i="7"/>
  <c r="AA6" i="7"/>
  <c r="AA5" i="7"/>
  <c r="Z47" i="7"/>
  <c r="Z36" i="7"/>
  <c r="AC36" i="7" s="1"/>
  <c r="Z35" i="7"/>
  <c r="AC35" i="7" s="1"/>
  <c r="Z33" i="7"/>
  <c r="AC33" i="7" s="1"/>
  <c r="Z32" i="7"/>
  <c r="AC32" i="7" s="1"/>
  <c r="Z22" i="7"/>
  <c r="AC22" i="7" s="1"/>
  <c r="Z21" i="7"/>
  <c r="AC21" i="7" s="1"/>
  <c r="Z19" i="7"/>
  <c r="AC19" i="7" s="1"/>
  <c r="Z17" i="7"/>
  <c r="AC17" i="7" s="1"/>
  <c r="X5" i="7"/>
  <c r="Z4" i="7"/>
  <c r="Z9" i="7"/>
  <c r="Z8" i="7"/>
  <c r="Z7" i="7"/>
  <c r="Z6" i="7"/>
  <c r="K110" i="7"/>
  <c r="AJ48" i="6"/>
  <c r="AL48" i="6" s="1"/>
  <c r="AJ47" i="6"/>
  <c r="AJ46" i="6"/>
  <c r="AL46" i="6" s="1"/>
  <c r="AJ45" i="6"/>
  <c r="AI49" i="6"/>
  <c r="AM49" i="6" s="1"/>
  <c r="AI48" i="6"/>
  <c r="AI47" i="6"/>
  <c r="AI46" i="6"/>
  <c r="AI44" i="6"/>
  <c r="AM44" i="6" s="1"/>
  <c r="AH49" i="6"/>
  <c r="AL49" i="6" s="1"/>
  <c r="AH47" i="6"/>
  <c r="AH45" i="6"/>
  <c r="AH44" i="6"/>
  <c r="AL44" i="6" s="1"/>
  <c r="AG49" i="6"/>
  <c r="AK49" i="6" s="1"/>
  <c r="AG48" i="6"/>
  <c r="AG47" i="6"/>
  <c r="AG46" i="6"/>
  <c r="AG45" i="6"/>
  <c r="AG44" i="6"/>
  <c r="AK44" i="6" s="1"/>
  <c r="AJ36" i="6"/>
  <c r="AJ35" i="6"/>
  <c r="AJ33" i="6"/>
  <c r="AM33" i="6" s="1"/>
  <c r="AJ32" i="6"/>
  <c r="AI36" i="6"/>
  <c r="AJ31" i="6"/>
  <c r="AL31" i="6" s="1"/>
  <c r="AI35" i="6"/>
  <c r="AI34" i="6"/>
  <c r="AM34" i="6" s="1"/>
  <c r="AI32" i="6"/>
  <c r="AI31" i="6"/>
  <c r="AH36" i="6"/>
  <c r="AH35" i="6"/>
  <c r="AH34" i="6"/>
  <c r="AL34" i="6" s="1"/>
  <c r="AH33" i="6"/>
  <c r="AH32" i="6"/>
  <c r="AG36" i="6"/>
  <c r="AG35" i="6"/>
  <c r="AG34" i="6"/>
  <c r="AK34" i="6" s="1"/>
  <c r="AG33" i="6"/>
  <c r="AG32" i="6"/>
  <c r="AG31" i="6"/>
  <c r="AJ21" i="6"/>
  <c r="AJ20" i="6"/>
  <c r="AJ19" i="6"/>
  <c r="AJ18" i="6"/>
  <c r="AJ17" i="6"/>
  <c r="AI21" i="6"/>
  <c r="AI20" i="6"/>
  <c r="AI19" i="6"/>
  <c r="AI18" i="6"/>
  <c r="AH21" i="6"/>
  <c r="AH20" i="6"/>
  <c r="AH18" i="6"/>
  <c r="AH17" i="6"/>
  <c r="AG20" i="6"/>
  <c r="AG19" i="6"/>
  <c r="AG17" i="6"/>
  <c r="AJ8" i="6"/>
  <c r="AJ7" i="6"/>
  <c r="AJ6" i="6"/>
  <c r="AJ5" i="6"/>
  <c r="AJ4" i="6"/>
  <c r="AI8" i="6"/>
  <c r="AI7" i="6"/>
  <c r="AI6" i="6"/>
  <c r="AI5" i="6"/>
  <c r="AI4" i="6"/>
  <c r="AH8" i="6"/>
  <c r="AH7" i="6"/>
  <c r="AH6" i="6"/>
  <c r="AH5" i="6"/>
  <c r="AH4" i="6"/>
  <c r="AG8" i="6"/>
  <c r="AG7" i="6"/>
  <c r="AG6" i="6"/>
  <c r="AG5" i="6"/>
  <c r="AG4" i="6"/>
  <c r="AA49" i="6"/>
  <c r="AA48" i="6"/>
  <c r="AA46" i="6"/>
  <c r="AA45" i="6"/>
  <c r="AA44" i="6"/>
  <c r="AA35" i="6"/>
  <c r="AD35" i="6" s="1"/>
  <c r="AA34" i="6"/>
  <c r="AD34" i="6" s="1"/>
  <c r="AA33" i="6"/>
  <c r="AD33" i="6" s="1"/>
  <c r="AA31" i="6"/>
  <c r="AD31" i="6" s="1"/>
  <c r="AA21" i="6"/>
  <c r="AD21" i="6" s="1"/>
  <c r="AA20" i="6"/>
  <c r="AD20" i="6" s="1"/>
  <c r="AA19" i="6"/>
  <c r="AD19" i="6" s="1"/>
  <c r="AA18" i="6"/>
  <c r="AD18" i="6" s="1"/>
  <c r="AA17" i="6"/>
  <c r="AD17" i="6" s="1"/>
  <c r="AA8" i="6"/>
  <c r="AD8" i="6" s="1"/>
  <c r="AA7" i="6"/>
  <c r="AD7" i="6" s="1"/>
  <c r="AA6" i="6"/>
  <c r="AD6" i="6" s="1"/>
  <c r="AA5" i="6"/>
  <c r="AD5" i="6" s="1"/>
  <c r="AA4" i="6"/>
  <c r="AD4" i="6" s="1"/>
  <c r="Z49" i="6"/>
  <c r="Z48" i="6"/>
  <c r="Z47" i="6"/>
  <c r="Z46" i="6"/>
  <c r="Z45" i="6"/>
  <c r="Z36" i="6"/>
  <c r="AC36" i="6" s="1"/>
  <c r="Z44" i="6"/>
  <c r="Z34" i="6"/>
  <c r="AC34" i="6" s="1"/>
  <c r="Z33" i="6"/>
  <c r="AC33" i="6" s="1"/>
  <c r="Z32" i="6"/>
  <c r="AC32" i="6" s="1"/>
  <c r="Z31" i="6"/>
  <c r="AC31" i="6" s="1"/>
  <c r="Z21" i="6"/>
  <c r="AC21" i="6" s="1"/>
  <c r="Z19" i="6"/>
  <c r="AC19" i="6" s="1"/>
  <c r="Z18" i="6"/>
  <c r="AC18" i="6" s="1"/>
  <c r="Z17" i="6"/>
  <c r="AC17" i="6" s="1"/>
  <c r="AA9" i="5"/>
  <c r="AJ9" i="5"/>
  <c r="AG9" i="5"/>
  <c r="Z9" i="5"/>
  <c r="AI9" i="5"/>
  <c r="AJ48" i="5"/>
  <c r="AJ47" i="5"/>
  <c r="AJ46" i="5"/>
  <c r="AJ45" i="5"/>
  <c r="AJ44" i="5"/>
  <c r="AJ43" i="5"/>
  <c r="AI48" i="5"/>
  <c r="AI47" i="5"/>
  <c r="AI46" i="5"/>
  <c r="AI45" i="5"/>
  <c r="AH47" i="5"/>
  <c r="AH46" i="5"/>
  <c r="AH45" i="5"/>
  <c r="AH44" i="5"/>
  <c r="AH43" i="5"/>
  <c r="AG48" i="5"/>
  <c r="AG47" i="5"/>
  <c r="AG46" i="5"/>
  <c r="AG45" i="5"/>
  <c r="AG44" i="5"/>
  <c r="AG43" i="5"/>
  <c r="AJ35" i="5"/>
  <c r="AJ34" i="5"/>
  <c r="AJ33" i="5"/>
  <c r="AJ32" i="5"/>
  <c r="AJ31" i="5"/>
  <c r="AI35" i="5"/>
  <c r="AI34" i="5"/>
  <c r="AI33" i="5"/>
  <c r="AI32" i="5"/>
  <c r="AI31" i="5"/>
  <c r="AI30" i="5"/>
  <c r="AH35" i="5"/>
  <c r="AH33" i="5"/>
  <c r="AH31" i="5"/>
  <c r="AH30" i="5"/>
  <c r="AG35" i="5"/>
  <c r="AG34" i="5"/>
  <c r="AG33" i="5"/>
  <c r="AG32" i="5"/>
  <c r="AG31" i="5"/>
  <c r="AG30" i="5"/>
  <c r="AJ21" i="5"/>
  <c r="AJ20" i="5"/>
  <c r="AJ19" i="5"/>
  <c r="AJ18" i="5"/>
  <c r="AJ17" i="5"/>
  <c r="AI21" i="5"/>
  <c r="AI20" i="5"/>
  <c r="AI18" i="5"/>
  <c r="AI17" i="5"/>
  <c r="AH21" i="5"/>
  <c r="AH19" i="5"/>
  <c r="AH17" i="5"/>
  <c r="AG21" i="5"/>
  <c r="AG20" i="5"/>
  <c r="AG19" i="5"/>
  <c r="AG18" i="5"/>
  <c r="AJ8" i="5"/>
  <c r="AJ5" i="5"/>
  <c r="AJ4" i="5"/>
  <c r="AI8" i="5"/>
  <c r="AI7" i="5"/>
  <c r="AI6" i="5"/>
  <c r="AI5" i="5"/>
  <c r="AI4" i="5"/>
  <c r="AH8" i="5"/>
  <c r="AH7" i="5"/>
  <c r="AH6" i="5"/>
  <c r="AH5" i="5"/>
  <c r="AG8" i="5"/>
  <c r="AG7" i="5"/>
  <c r="AG6" i="5"/>
  <c r="AA48" i="5"/>
  <c r="AG4" i="5"/>
  <c r="AA47" i="5"/>
  <c r="AA45" i="5"/>
  <c r="AA44" i="5"/>
  <c r="AA43" i="5"/>
  <c r="AA35" i="5"/>
  <c r="AA34" i="5"/>
  <c r="AA32" i="5"/>
  <c r="AA31" i="5"/>
  <c r="AA30" i="5"/>
  <c r="AA20" i="5"/>
  <c r="AA19" i="5"/>
  <c r="AA18" i="5"/>
  <c r="AA17" i="5"/>
  <c r="Z48" i="5"/>
  <c r="Z46" i="5"/>
  <c r="Z44" i="5"/>
  <c r="Z43" i="5"/>
  <c r="Z34" i="5"/>
  <c r="Z33" i="5"/>
  <c r="Z32" i="5"/>
  <c r="X20" i="5"/>
  <c r="Z30" i="5"/>
  <c r="Z21" i="5"/>
  <c r="Z20" i="5"/>
  <c r="Z19" i="5"/>
  <c r="Z18" i="5"/>
  <c r="Z17" i="5"/>
  <c r="AA7" i="5"/>
  <c r="AA6" i="5"/>
  <c r="AA5" i="5"/>
  <c r="AA4" i="5"/>
  <c r="Z8" i="5"/>
  <c r="Z7" i="5"/>
  <c r="Z6" i="5"/>
  <c r="Z5" i="5"/>
  <c r="Z4" i="5"/>
  <c r="I95" i="5"/>
  <c r="I86" i="5"/>
  <c r="AJ8" i="4"/>
  <c r="AJ7" i="4"/>
  <c r="AJ5" i="4"/>
  <c r="AJ4" i="4"/>
  <c r="AI7" i="4"/>
  <c r="AI6" i="4"/>
  <c r="AI5" i="4"/>
  <c r="AI4" i="4"/>
  <c r="AH8" i="4"/>
  <c r="AH7" i="4"/>
  <c r="AH6" i="4"/>
  <c r="AH4" i="4"/>
  <c r="AG8" i="4"/>
  <c r="AG7" i="4"/>
  <c r="AG6" i="4"/>
  <c r="AG5" i="4"/>
  <c r="AG4" i="4"/>
  <c r="AJ21" i="4"/>
  <c r="AJ19" i="4"/>
  <c r="AJ18" i="4"/>
  <c r="AJ17" i="4"/>
  <c r="AI21" i="4"/>
  <c r="AI20" i="4"/>
  <c r="AI19" i="4"/>
  <c r="AI18" i="4"/>
  <c r="AI17" i="4"/>
  <c r="AH21" i="4"/>
  <c r="AH20" i="4"/>
  <c r="AH19" i="4"/>
  <c r="AH18" i="4"/>
  <c r="AH17" i="4"/>
  <c r="AG20" i="4"/>
  <c r="AG19" i="4"/>
  <c r="AG18" i="4"/>
  <c r="AJ33" i="4"/>
  <c r="AK33" i="4" s="1"/>
  <c r="AJ32" i="4"/>
  <c r="AJ31" i="4"/>
  <c r="AJ30" i="4"/>
  <c r="AI34" i="4"/>
  <c r="AM34" i="4" s="1"/>
  <c r="AI33" i="4"/>
  <c r="AI32" i="4"/>
  <c r="AI31" i="4"/>
  <c r="AI30" i="4"/>
  <c r="AH34" i="4"/>
  <c r="AL34" i="4" s="1"/>
  <c r="AH33" i="4"/>
  <c r="AH32" i="4"/>
  <c r="AH31" i="4"/>
  <c r="AH30" i="4"/>
  <c r="AG34" i="4"/>
  <c r="AK34" i="4" s="1"/>
  <c r="AG32" i="4"/>
  <c r="AG31" i="4"/>
  <c r="AG30" i="4"/>
  <c r="AA34" i="4"/>
  <c r="AD34" i="4" s="1"/>
  <c r="AA33" i="4"/>
  <c r="AD33" i="4" s="1"/>
  <c r="Z34" i="4"/>
  <c r="AC34" i="4" s="1"/>
  <c r="Z33" i="4"/>
  <c r="AC33" i="4" s="1"/>
  <c r="Z32" i="4"/>
  <c r="AC32" i="4" s="1"/>
  <c r="Z31" i="4"/>
  <c r="AC31" i="4" s="1"/>
  <c r="Z30" i="4"/>
  <c r="AC30" i="4" s="1"/>
  <c r="AA21" i="4"/>
  <c r="AD21" i="4" s="1"/>
  <c r="AA20" i="4"/>
  <c r="AD20" i="4" s="1"/>
  <c r="AA18" i="4"/>
  <c r="AD18" i="4" s="1"/>
  <c r="AA17" i="4"/>
  <c r="AD17" i="4" s="1"/>
  <c r="Z21" i="4"/>
  <c r="AC21" i="4" s="1"/>
  <c r="Z20" i="4"/>
  <c r="AC20" i="4" s="1"/>
  <c r="Z19" i="4"/>
  <c r="AC19" i="4" s="1"/>
  <c r="Z17" i="4"/>
  <c r="AC17" i="4" s="1"/>
  <c r="AA8" i="4"/>
  <c r="AD8" i="4" s="1"/>
  <c r="AA7" i="4"/>
  <c r="AD7" i="4" s="1"/>
  <c r="AA6" i="4"/>
  <c r="AD6" i="4" s="1"/>
  <c r="AA5" i="4"/>
  <c r="AD5" i="4" s="1"/>
  <c r="Z6" i="4"/>
  <c r="AC6" i="4" s="1"/>
  <c r="Z8" i="4"/>
  <c r="AC8" i="4" s="1"/>
  <c r="Z5" i="4"/>
  <c r="AC5" i="4" s="1"/>
  <c r="Z4" i="4"/>
  <c r="AC4" i="4" s="1"/>
  <c r="AJ35" i="3"/>
  <c r="AJ34" i="3"/>
  <c r="AJ33" i="3"/>
  <c r="AJ31" i="3"/>
  <c r="AI35" i="3"/>
  <c r="AI34" i="3"/>
  <c r="AI32" i="3"/>
  <c r="AI31" i="3"/>
  <c r="AH35" i="3"/>
  <c r="AH34" i="3"/>
  <c r="AH33" i="3"/>
  <c r="AH32" i="3"/>
  <c r="AH31" i="3"/>
  <c r="AG34" i="3"/>
  <c r="AG33" i="3"/>
  <c r="AG32" i="3"/>
  <c r="AG31" i="3"/>
  <c r="AJ22" i="3"/>
  <c r="AJ20" i="3"/>
  <c r="AJ19" i="3"/>
  <c r="AJ18" i="3"/>
  <c r="AI22" i="3"/>
  <c r="AI21" i="3"/>
  <c r="AI20" i="3"/>
  <c r="AI19" i="3"/>
  <c r="AI18" i="3"/>
  <c r="AI17" i="3"/>
  <c r="AH22" i="3"/>
  <c r="AH21" i="3"/>
  <c r="AH20" i="3"/>
  <c r="AH19" i="3"/>
  <c r="AH18" i="3"/>
  <c r="AH17" i="3"/>
  <c r="AG22" i="3"/>
  <c r="AG21" i="3"/>
  <c r="AG20" i="3"/>
  <c r="AG19" i="3"/>
  <c r="AG18" i="3"/>
  <c r="AG17" i="3"/>
  <c r="AA35" i="3"/>
  <c r="AA34" i="3"/>
  <c r="AA33" i="3"/>
  <c r="AA32" i="3"/>
  <c r="Z35" i="3"/>
  <c r="Z33" i="3"/>
  <c r="Z32" i="3"/>
  <c r="AA22" i="3"/>
  <c r="Z31" i="3"/>
  <c r="AA21" i="3"/>
  <c r="AA20" i="3"/>
  <c r="AA18" i="3"/>
  <c r="AA17" i="3"/>
  <c r="Z21" i="3"/>
  <c r="Z19" i="3"/>
  <c r="Z17" i="3"/>
  <c r="AJ8" i="3"/>
  <c r="AJ7" i="3"/>
  <c r="AJ4" i="3"/>
  <c r="AI9" i="3"/>
  <c r="AI8" i="3"/>
  <c r="AI7" i="3"/>
  <c r="AI6" i="3"/>
  <c r="AI5" i="3"/>
  <c r="AI4" i="3"/>
  <c r="AH9" i="3"/>
  <c r="AH8" i="3"/>
  <c r="AH6" i="3"/>
  <c r="AH5" i="3"/>
  <c r="AG9" i="3"/>
  <c r="AH4" i="3"/>
  <c r="AG8" i="3"/>
  <c r="AG7" i="3"/>
  <c r="AG6" i="3"/>
  <c r="AG5" i="3"/>
  <c r="AG4" i="3"/>
  <c r="AA9" i="3"/>
  <c r="AA8" i="3"/>
  <c r="AA7" i="3"/>
  <c r="AA6" i="3"/>
  <c r="AA5" i="3"/>
  <c r="AA4" i="3"/>
  <c r="Z9" i="3"/>
  <c r="Z7" i="3"/>
  <c r="Z6" i="3"/>
  <c r="Z5" i="3"/>
  <c r="X23" i="2"/>
  <c r="V19" i="2"/>
  <c r="W19" i="2" s="1"/>
  <c r="T23" i="2"/>
  <c r="U23" i="2" s="1"/>
  <c r="V22" i="2"/>
  <c r="Y22" i="2" s="1"/>
  <c r="X19" i="2"/>
  <c r="AH18" i="2"/>
  <c r="AG10" i="2"/>
  <c r="AI10" i="2"/>
  <c r="Z10" i="2"/>
  <c r="AH10" i="2"/>
  <c r="AJ10" i="2"/>
  <c r="AH22" i="2"/>
  <c r="AJ22" i="2"/>
  <c r="AJ9" i="2"/>
  <c r="AG9" i="2"/>
  <c r="AA9" i="2"/>
  <c r="AI9" i="2"/>
  <c r="Z9" i="2"/>
  <c r="V21" i="2"/>
  <c r="W21" i="2" s="1"/>
  <c r="X18" i="2"/>
  <c r="W22" i="2"/>
  <c r="X22" i="2"/>
  <c r="Y23" i="2"/>
  <c r="AI18" i="2"/>
  <c r="AI23" i="2"/>
  <c r="AG22" i="2"/>
  <c r="W23" i="2"/>
  <c r="AA23" i="2"/>
  <c r="AD23" i="2" s="1"/>
  <c r="AJ23" i="2"/>
  <c r="AK23" i="2" s="1"/>
  <c r="AN23" i="2" s="1"/>
  <c r="Z23" i="2"/>
  <c r="AC23" i="2" s="1"/>
  <c r="AH23" i="2"/>
  <c r="Z22" i="2"/>
  <c r="AI22" i="2"/>
  <c r="X21" i="2"/>
  <c r="AI21" i="2"/>
  <c r="X17" i="2"/>
  <c r="AG17" i="2"/>
  <c r="X20" i="2"/>
  <c r="V18" i="2"/>
  <c r="W18" i="2" s="1"/>
  <c r="AJ18" i="2"/>
  <c r="Z18" i="2"/>
  <c r="AA18" i="2"/>
  <c r="Z21" i="2"/>
  <c r="AA21" i="2"/>
  <c r="AJ20" i="2"/>
  <c r="Z20" i="2"/>
  <c r="AA20" i="2"/>
  <c r="AH17" i="2"/>
  <c r="AA17" i="2"/>
  <c r="V20" i="2"/>
  <c r="W20" i="2" s="1"/>
  <c r="Z17" i="2"/>
  <c r="AI17" i="2"/>
  <c r="Y17" i="2"/>
  <c r="AG19" i="2"/>
  <c r="W17" i="2"/>
  <c r="Z19" i="2"/>
  <c r="AG20" i="2"/>
  <c r="AI20" i="2"/>
  <c r="AI19" i="2"/>
  <c r="AA19" i="2"/>
  <c r="AH19" i="2"/>
  <c r="AA8" i="2"/>
  <c r="AA7" i="2"/>
  <c r="AA6" i="2"/>
  <c r="AA4" i="2"/>
  <c r="Z8" i="2"/>
  <c r="Z7" i="2"/>
  <c r="Z6" i="2"/>
  <c r="Z5" i="2"/>
  <c r="Z4" i="2"/>
  <c r="AJ8" i="2"/>
  <c r="AJ6" i="2"/>
  <c r="AJ5" i="2"/>
  <c r="AJ4" i="2"/>
  <c r="AI8" i="2"/>
  <c r="AI7" i="2"/>
  <c r="AI6" i="2"/>
  <c r="AI5" i="2"/>
  <c r="AI4" i="2"/>
  <c r="AH8" i="2"/>
  <c r="AH7" i="2"/>
  <c r="AH6" i="2"/>
  <c r="AH5" i="2"/>
  <c r="AH4" i="2"/>
  <c r="AG7" i="2"/>
  <c r="AG5" i="2"/>
  <c r="J98" i="7"/>
  <c r="J111" i="7"/>
  <c r="J101" i="7"/>
  <c r="AD6" i="8"/>
  <c r="Y24" i="6"/>
  <c r="K113" i="7"/>
  <c r="K89" i="7"/>
  <c r="K115" i="7"/>
  <c r="K116" i="7"/>
  <c r="K112" i="7"/>
  <c r="K92" i="7"/>
  <c r="K87" i="7"/>
  <c r="K108" i="7"/>
  <c r="K109" i="7"/>
  <c r="K85" i="7"/>
  <c r="K94" i="7"/>
  <c r="K102" i="7"/>
  <c r="E48" i="4"/>
  <c r="M21" i="4" s="1"/>
  <c r="K86" i="7"/>
  <c r="K90" i="7"/>
  <c r="K107" i="7"/>
  <c r="K98" i="7"/>
  <c r="K83" i="7"/>
  <c r="K97" i="7"/>
  <c r="K93" i="7"/>
  <c r="K91" i="7"/>
  <c r="K101" i="7"/>
  <c r="K104" i="7"/>
  <c r="K88" i="7"/>
  <c r="K84" i="7"/>
  <c r="K103" i="7"/>
  <c r="K114" i="7"/>
  <c r="K99" i="7"/>
  <c r="K100" i="7"/>
  <c r="I83" i="5"/>
  <c r="I87" i="5"/>
  <c r="I89" i="4"/>
  <c r="I111" i="4"/>
  <c r="I96" i="4"/>
  <c r="I112" i="4"/>
  <c r="I112" i="5"/>
  <c r="I94" i="5"/>
  <c r="I81" i="5"/>
  <c r="I82" i="4"/>
  <c r="I113" i="4"/>
  <c r="I86" i="4"/>
  <c r="I80" i="4"/>
  <c r="I81" i="4"/>
  <c r="I84" i="4"/>
  <c r="I103" i="4"/>
  <c r="I98" i="5"/>
  <c r="I105" i="4"/>
  <c r="I108" i="4"/>
  <c r="I95" i="4"/>
  <c r="I88" i="5"/>
  <c r="I94" i="4"/>
  <c r="I100" i="4"/>
  <c r="I92" i="4"/>
  <c r="I91" i="4"/>
  <c r="I106" i="5"/>
  <c r="I104" i="4"/>
  <c r="I90" i="5"/>
  <c r="I101" i="4"/>
  <c r="I98" i="4"/>
  <c r="I90" i="4"/>
  <c r="I88" i="4"/>
  <c r="I93" i="4"/>
  <c r="I111" i="5"/>
  <c r="I106" i="4"/>
  <c r="I97" i="4"/>
  <c r="I85" i="4"/>
  <c r="I83" i="4"/>
  <c r="J85" i="7"/>
  <c r="X32" i="3"/>
  <c r="Y39" i="8"/>
  <c r="W39" i="8"/>
  <c r="X37" i="3"/>
  <c r="Y31" i="8"/>
  <c r="W37" i="3"/>
  <c r="Y36" i="3"/>
  <c r="W37" i="8"/>
  <c r="AC20" i="7"/>
  <c r="I102" i="4"/>
  <c r="W34" i="3"/>
  <c r="Y34" i="3"/>
  <c r="X34" i="3"/>
  <c r="X35" i="4"/>
  <c r="AK35" i="4"/>
  <c r="W32" i="4"/>
  <c r="Y36" i="8"/>
  <c r="X6" i="8"/>
  <c r="W36" i="8"/>
  <c r="V32" i="3"/>
  <c r="Y32" i="3" s="1"/>
  <c r="X36" i="8"/>
  <c r="Y31" i="3"/>
  <c r="Y35" i="3"/>
  <c r="W36" i="3"/>
  <c r="X35" i="3"/>
  <c r="X32" i="8"/>
  <c r="Y30" i="8"/>
  <c r="X31" i="3"/>
  <c r="X34" i="4"/>
  <c r="X33" i="3"/>
  <c r="W31" i="3"/>
  <c r="X36" i="3"/>
  <c r="Y33" i="3"/>
  <c r="W33" i="3"/>
  <c r="W34" i="8"/>
  <c r="AM35" i="4"/>
  <c r="X23" i="8"/>
  <c r="V23" i="8"/>
  <c r="Y23" i="8" s="1"/>
  <c r="J93" i="7"/>
  <c r="J108" i="7"/>
  <c r="T7" i="4"/>
  <c r="U7" i="4" s="1"/>
  <c r="T12" i="4"/>
  <c r="U12" i="4" s="1"/>
  <c r="AD11" i="8"/>
  <c r="W33" i="8"/>
  <c r="T10" i="8"/>
  <c r="U10" i="8" s="1"/>
  <c r="AD4" i="4"/>
  <c r="T6" i="4"/>
  <c r="U6" i="4" s="1"/>
  <c r="W37" i="4"/>
  <c r="AC37" i="4"/>
  <c r="T5" i="8"/>
  <c r="U5" i="8" s="1"/>
  <c r="T13" i="4"/>
  <c r="U13" i="4" s="1"/>
  <c r="X31" i="4"/>
  <c r="AC7" i="4"/>
  <c r="X37" i="4"/>
  <c r="X30" i="4"/>
  <c r="Y37" i="8"/>
  <c r="J99" i="5"/>
  <c r="T40" i="6"/>
  <c r="U40" i="6" s="1"/>
  <c r="W35" i="4"/>
  <c r="AC25" i="7"/>
  <c r="D48" i="8"/>
  <c r="M8" i="8" s="1"/>
  <c r="W33" i="4"/>
  <c r="X33" i="4"/>
  <c r="Y25" i="6"/>
  <c r="Y33" i="4"/>
  <c r="X36" i="4"/>
  <c r="T39" i="7"/>
  <c r="U39" i="7" s="1"/>
  <c r="G50" i="7"/>
  <c r="M36" i="7" s="1"/>
  <c r="D48" i="4"/>
  <c r="M8" i="4" s="1"/>
  <c r="J103" i="5"/>
  <c r="H91" i="6"/>
  <c r="H93" i="6"/>
  <c r="T38" i="6"/>
  <c r="U38" i="6" s="1"/>
  <c r="W31" i="8"/>
  <c r="J83" i="5"/>
  <c r="H98" i="6"/>
  <c r="AC38" i="7"/>
  <c r="T37" i="7"/>
  <c r="U37" i="7" s="1"/>
  <c r="AD36" i="4"/>
  <c r="T20" i="7"/>
  <c r="U20" i="7" s="1"/>
  <c r="AC35" i="6"/>
  <c r="H105" i="7"/>
  <c r="J88" i="5"/>
  <c r="Y31" i="4"/>
  <c r="Y35" i="4"/>
  <c r="AC40" i="6"/>
  <c r="H95" i="7"/>
  <c r="I115" i="6"/>
  <c r="E72" i="6" s="1"/>
  <c r="E73" i="6" s="1"/>
  <c r="T18" i="7"/>
  <c r="U18" i="7" s="1"/>
  <c r="AC36" i="4"/>
  <c r="AD32" i="6"/>
  <c r="AD36" i="6"/>
  <c r="J81" i="5"/>
  <c r="W31" i="4"/>
  <c r="J80" i="5"/>
  <c r="J109" i="5"/>
  <c r="J98" i="5"/>
  <c r="H83" i="6"/>
  <c r="AC18" i="7"/>
  <c r="AD23" i="7"/>
  <c r="T34" i="6"/>
  <c r="U34" i="6" s="1"/>
  <c r="J92" i="5"/>
  <c r="J108" i="5"/>
  <c r="H81" i="6"/>
  <c r="AM25" i="4"/>
  <c r="E50" i="7"/>
  <c r="M21" i="7" s="1"/>
  <c r="X37" i="8"/>
  <c r="Y26" i="6"/>
  <c r="Y36" i="4"/>
  <c r="Y38" i="8"/>
  <c r="W30" i="8"/>
  <c r="X38" i="8"/>
  <c r="W35" i="3"/>
  <c r="X34" i="8"/>
  <c r="W32" i="8"/>
  <c r="X31" i="8"/>
  <c r="Y34" i="8"/>
  <c r="Y32" i="8"/>
  <c r="X35" i="8"/>
  <c r="X30" i="8"/>
  <c r="X32" i="4"/>
  <c r="Y31" i="6"/>
  <c r="AD35" i="4"/>
  <c r="Y33" i="8"/>
  <c r="X38" i="3"/>
  <c r="W38" i="3"/>
  <c r="W35" i="8"/>
  <c r="AC39" i="6"/>
  <c r="Y6" i="7"/>
  <c r="AC35" i="4"/>
  <c r="X33" i="8"/>
  <c r="Y32" i="4"/>
  <c r="Y35" i="8"/>
  <c r="V26" i="8"/>
  <c r="T36" i="6"/>
  <c r="U36" i="6" s="1"/>
  <c r="X8" i="9"/>
  <c r="Y11" i="9"/>
  <c r="X26" i="8"/>
  <c r="Y4" i="9"/>
  <c r="T32" i="6"/>
  <c r="U32" i="6" s="1"/>
  <c r="W32" i="6"/>
  <c r="X35" i="7"/>
  <c r="X34" i="6"/>
  <c r="W26" i="7"/>
  <c r="Y22" i="8"/>
  <c r="V34" i="6"/>
  <c r="Y34" i="6" s="1"/>
  <c r="X37" i="6"/>
  <c r="AD11" i="9"/>
  <c r="Y13" i="8"/>
  <c r="AC11" i="9"/>
  <c r="W37" i="6"/>
  <c r="T37" i="6"/>
  <c r="U37" i="6" s="1"/>
  <c r="X11" i="9"/>
  <c r="W11" i="9"/>
  <c r="T33" i="6"/>
  <c r="U33" i="6" s="1"/>
  <c r="X10" i="3"/>
  <c r="AD37" i="6"/>
  <c r="AD39" i="6"/>
  <c r="T31" i="6"/>
  <c r="U31" i="6" s="1"/>
  <c r="AC37" i="6"/>
  <c r="Y7" i="8"/>
  <c r="AM37" i="6"/>
  <c r="AD38" i="6"/>
  <c r="X10" i="9"/>
  <c r="W18" i="6"/>
  <c r="Y5" i="9"/>
  <c r="X7" i="8"/>
  <c r="X20" i="7"/>
  <c r="T7" i="8"/>
  <c r="U7" i="8" s="1"/>
  <c r="V20" i="7"/>
  <c r="W20" i="7" s="1"/>
  <c r="X4" i="7"/>
  <c r="W20" i="6"/>
  <c r="Y19" i="6"/>
  <c r="X25" i="6"/>
  <c r="X19" i="7"/>
  <c r="X8" i="8"/>
  <c r="W11" i="7"/>
  <c r="Y40" i="6"/>
  <c r="T13" i="8"/>
  <c r="U13" i="8" s="1"/>
  <c r="Y5" i="7"/>
  <c r="T39" i="6"/>
  <c r="U39" i="6" s="1"/>
  <c r="X13" i="8"/>
  <c r="X10" i="8"/>
  <c r="X5" i="9"/>
  <c r="T8" i="8"/>
  <c r="U8" i="8" s="1"/>
  <c r="T24" i="7"/>
  <c r="U24" i="7" s="1"/>
  <c r="W22" i="6"/>
  <c r="AC10" i="8"/>
  <c r="T35" i="6"/>
  <c r="U35" i="6" s="1"/>
  <c r="AD10" i="8"/>
  <c r="X17" i="6"/>
  <c r="AC38" i="6"/>
  <c r="T25" i="7"/>
  <c r="U25" i="7" s="1"/>
  <c r="AD40" i="6"/>
  <c r="X19" i="4"/>
  <c r="X4" i="8"/>
  <c r="X26" i="7"/>
  <c r="X11" i="7"/>
  <c r="T26" i="7"/>
  <c r="U26" i="7" s="1"/>
  <c r="T4" i="8"/>
  <c r="U4" i="8" s="1"/>
  <c r="X45" i="5"/>
  <c r="X19" i="6"/>
  <c r="W24" i="6"/>
  <c r="W18" i="8"/>
  <c r="W48" i="7"/>
  <c r="V25" i="6"/>
  <c r="X11" i="2"/>
  <c r="X20" i="8"/>
  <c r="X34" i="7"/>
  <c r="AD24" i="7"/>
  <c r="W12" i="8"/>
  <c r="T25" i="8"/>
  <c r="U25" i="8" s="1"/>
  <c r="W9" i="8"/>
  <c r="Y17" i="7"/>
  <c r="X20" i="6"/>
  <c r="Y11" i="7"/>
  <c r="AM24" i="8"/>
  <c r="AC23" i="6"/>
  <c r="Y20" i="6"/>
  <c r="T20" i="8"/>
  <c r="U20" i="8" s="1"/>
  <c r="AC24" i="7"/>
  <c r="V20" i="8"/>
  <c r="W20" i="8" s="1"/>
  <c r="X25" i="8"/>
  <c r="AD11" i="4"/>
  <c r="W25" i="3"/>
  <c r="W21" i="7"/>
  <c r="W17" i="7"/>
  <c r="W9" i="9"/>
  <c r="W17" i="6"/>
  <c r="T19" i="8"/>
  <c r="U19" i="8" s="1"/>
  <c r="X23" i="6"/>
  <c r="X19" i="3"/>
  <c r="T18" i="8"/>
  <c r="U18" i="8" s="1"/>
  <c r="X18" i="8"/>
  <c r="X21" i="6"/>
  <c r="Y22" i="6"/>
  <c r="Y23" i="6"/>
  <c r="T11" i="8"/>
  <c r="U11" i="8" s="1"/>
  <c r="X21" i="7"/>
  <c r="W8" i="7"/>
  <c r="X21" i="8"/>
  <c r="X26" i="6"/>
  <c r="X8" i="6"/>
  <c r="T21" i="7"/>
  <c r="U21" i="7" s="1"/>
  <c r="V10" i="8"/>
  <c r="Y10" i="8" s="1"/>
  <c r="AC11" i="8"/>
  <c r="Y9" i="8"/>
  <c r="X11" i="8"/>
  <c r="V18" i="7"/>
  <c r="W18" i="7" s="1"/>
  <c r="W17" i="8"/>
  <c r="Y18" i="6"/>
  <c r="W5" i="7"/>
  <c r="Y9" i="9"/>
  <c r="Y4" i="8"/>
  <c r="AC26" i="8"/>
  <c r="X22" i="8"/>
  <c r="W4" i="8"/>
  <c r="V6" i="8"/>
  <c r="W6" i="8" s="1"/>
  <c r="T6" i="8"/>
  <c r="U6" i="8" s="1"/>
  <c r="AD26" i="8"/>
  <c r="X22" i="7"/>
  <c r="W6" i="9"/>
  <c r="AM26" i="8"/>
  <c r="W6" i="7"/>
  <c r="W5" i="9"/>
  <c r="X9" i="9"/>
  <c r="W24" i="5"/>
  <c r="W21" i="8"/>
  <c r="Y6" i="9"/>
  <c r="Y7" i="7"/>
  <c r="W7" i="7"/>
  <c r="X7" i="9"/>
  <c r="W7" i="9"/>
  <c r="Y7" i="9"/>
  <c r="AC5" i="8"/>
  <c r="AD23" i="8"/>
  <c r="W21" i="6"/>
  <c r="X18" i="6"/>
  <c r="X9" i="7"/>
  <c r="AC24" i="8"/>
  <c r="X7" i="7"/>
  <c r="AD13" i="8"/>
  <c r="Y19" i="3"/>
  <c r="W4" i="9"/>
  <c r="X9" i="8"/>
  <c r="W23" i="6"/>
  <c r="X6" i="9"/>
  <c r="T22" i="7"/>
  <c r="U22" i="7" s="1"/>
  <c r="X23" i="7"/>
  <c r="AC4" i="8"/>
  <c r="AK24" i="8"/>
  <c r="W49" i="6"/>
  <c r="T17" i="7"/>
  <c r="U17" i="7" s="1"/>
  <c r="T21" i="8"/>
  <c r="U21" i="8" s="1"/>
  <c r="V12" i="8"/>
  <c r="T12" i="8"/>
  <c r="U12" i="8" s="1"/>
  <c r="Y25" i="8"/>
  <c r="T22" i="8"/>
  <c r="U22" i="8" s="1"/>
  <c r="X40" i="6"/>
  <c r="X38" i="7"/>
  <c r="Y23" i="5"/>
  <c r="T9" i="8"/>
  <c r="U9" i="8" s="1"/>
  <c r="AD25" i="8"/>
  <c r="X4" i="9"/>
  <c r="X10" i="7"/>
  <c r="V10" i="7"/>
  <c r="AL24" i="8"/>
  <c r="AD24" i="8"/>
  <c r="X21" i="3"/>
  <c r="V4" i="7"/>
  <c r="W4" i="7" s="1"/>
  <c r="AC13" i="8"/>
  <c r="V5" i="8"/>
  <c r="W5" i="8" s="1"/>
  <c r="X12" i="8"/>
  <c r="Y21" i="6"/>
  <c r="AK25" i="8"/>
  <c r="AC25" i="8"/>
  <c r="AD12" i="8"/>
  <c r="AC12" i="8"/>
  <c r="X5" i="8"/>
  <c r="Y24" i="8"/>
  <c r="AC22" i="6"/>
  <c r="W24" i="7"/>
  <c r="Y24" i="7"/>
  <c r="V23" i="7"/>
  <c r="Y23" i="7" s="1"/>
  <c r="T23" i="7"/>
  <c r="U23" i="7" s="1"/>
  <c r="W24" i="8"/>
  <c r="W22" i="5"/>
  <c r="Y21" i="8"/>
  <c r="X24" i="7"/>
  <c r="AD22" i="6"/>
  <c r="X17" i="8"/>
  <c r="V20" i="5"/>
  <c r="Y20" i="5" s="1"/>
  <c r="AD24" i="6"/>
  <c r="X6" i="7"/>
  <c r="X19" i="8"/>
  <c r="X24" i="6"/>
  <c r="X24" i="8"/>
  <c r="X17" i="7"/>
  <c r="AC23" i="7"/>
  <c r="X22" i="6"/>
  <c r="T24" i="8"/>
  <c r="U24" i="8" s="1"/>
  <c r="X21" i="4"/>
  <c r="T19" i="7"/>
  <c r="U19" i="7" s="1"/>
  <c r="T17" i="8"/>
  <c r="U17" i="8" s="1"/>
  <c r="Y21" i="7"/>
  <c r="AM26" i="7"/>
  <c r="W19" i="7"/>
  <c r="Y19" i="7"/>
  <c r="T11" i="9"/>
  <c r="U11" i="9" s="1"/>
  <c r="W19" i="8"/>
  <c r="Y19" i="8"/>
  <c r="Y17" i="8"/>
  <c r="H98" i="7"/>
  <c r="J91" i="5"/>
  <c r="J104" i="5"/>
  <c r="J106" i="7"/>
  <c r="J113" i="7"/>
  <c r="H84" i="6"/>
  <c r="H102" i="5"/>
  <c r="X44" i="6"/>
  <c r="Y10" i="6"/>
  <c r="AD25" i="7"/>
  <c r="X25" i="7"/>
  <c r="AC123" i="2"/>
  <c r="D72" i="2" s="1"/>
  <c r="D73" i="2" s="1"/>
  <c r="D46" i="2" s="1"/>
  <c r="W26" i="8"/>
  <c r="J89" i="5"/>
  <c r="J102" i="7"/>
  <c r="J107" i="7"/>
  <c r="H94" i="6"/>
  <c r="H111" i="5"/>
  <c r="X21" i="5"/>
  <c r="T21" i="4"/>
  <c r="U21" i="4" s="1"/>
  <c r="X18" i="7"/>
  <c r="Y17" i="6"/>
  <c r="T22" i="4"/>
  <c r="U22" i="4" s="1"/>
  <c r="AD19" i="4"/>
  <c r="AC18" i="4"/>
  <c r="Y12" i="7"/>
  <c r="W12" i="7"/>
  <c r="X12" i="7"/>
  <c r="H114" i="8"/>
  <c r="D71" i="8" s="1"/>
  <c r="D72" i="8" s="1"/>
  <c r="W19" i="6"/>
  <c r="T24" i="4"/>
  <c r="U24" i="4" s="1"/>
  <c r="Y25" i="7"/>
  <c r="W25" i="7"/>
  <c r="J106" i="8"/>
  <c r="H98" i="3"/>
  <c r="H89" i="5"/>
  <c r="T26" i="4"/>
  <c r="U26" i="4" s="1"/>
  <c r="Y13" i="7"/>
  <c r="W13" i="7"/>
  <c r="X13" i="7"/>
  <c r="AC26" i="6"/>
  <c r="AD26" i="6"/>
  <c r="J88" i="8"/>
  <c r="H108" i="3"/>
  <c r="H94" i="5"/>
  <c r="W46" i="7"/>
  <c r="X8" i="7"/>
  <c r="Y8" i="7"/>
  <c r="H108" i="6"/>
  <c r="H96" i="3"/>
  <c r="H99" i="5"/>
  <c r="G87" i="9"/>
  <c r="Y22" i="7"/>
  <c r="W22" i="7"/>
  <c r="AC26" i="7"/>
  <c r="AD26" i="7"/>
  <c r="H88" i="5"/>
  <c r="T19" i="4"/>
  <c r="U19" i="4" s="1"/>
  <c r="J102" i="5"/>
  <c r="J96" i="5"/>
  <c r="H101" i="6"/>
  <c r="H105" i="5"/>
  <c r="Y17" i="5"/>
  <c r="X24" i="5"/>
  <c r="I84" i="5"/>
  <c r="I102" i="5"/>
  <c r="I91" i="5"/>
  <c r="I108" i="5"/>
  <c r="I104" i="5"/>
  <c r="I97" i="5"/>
  <c r="I110" i="5"/>
  <c r="I93" i="5"/>
  <c r="I89" i="5"/>
  <c r="I100" i="5"/>
  <c r="I85" i="5"/>
  <c r="I109" i="5"/>
  <c r="I80" i="5"/>
  <c r="I96" i="5"/>
  <c r="I105" i="5"/>
  <c r="I103" i="5"/>
  <c r="I101" i="5"/>
  <c r="I107" i="5"/>
  <c r="I113" i="5"/>
  <c r="I99" i="5"/>
  <c r="I92" i="5"/>
  <c r="AD25" i="4"/>
  <c r="I116" i="7"/>
  <c r="E73" i="7" s="1"/>
  <c r="E74" i="7" s="1"/>
  <c r="W19" i="5"/>
  <c r="T23" i="6"/>
  <c r="Y45" i="5"/>
  <c r="X8" i="2"/>
  <c r="AD39" i="7"/>
  <c r="T25" i="4"/>
  <c r="U25" i="4" s="1"/>
  <c r="AC24" i="6"/>
  <c r="X46" i="7"/>
  <c r="W45" i="5"/>
  <c r="J106" i="5"/>
  <c r="J94" i="5"/>
  <c r="AC25" i="4"/>
  <c r="AC37" i="7"/>
  <c r="X22" i="5"/>
  <c r="Y18" i="5"/>
  <c r="AD26" i="4"/>
  <c r="X53" i="6"/>
  <c r="X48" i="7"/>
  <c r="W45" i="6"/>
  <c r="AD23" i="4"/>
  <c r="W23" i="5"/>
  <c r="W5" i="6"/>
  <c r="W7" i="8"/>
  <c r="AK26" i="4"/>
  <c r="X23" i="5"/>
  <c r="T9" i="4"/>
  <c r="U9" i="4" s="1"/>
  <c r="W22" i="8"/>
  <c r="Y21" i="5"/>
  <c r="AM50" i="6"/>
  <c r="AC24" i="4"/>
  <c r="W19" i="3"/>
  <c r="X19" i="5"/>
  <c r="W26" i="5"/>
  <c r="W18" i="5"/>
  <c r="AC11" i="4"/>
  <c r="X11" i="4"/>
  <c r="AM26" i="4"/>
  <c r="AL23" i="4"/>
  <c r="AC23" i="4"/>
  <c r="X49" i="6"/>
  <c r="X9" i="4"/>
  <c r="X7" i="5"/>
  <c r="AC26" i="4"/>
  <c r="Y6" i="6"/>
  <c r="X18" i="5"/>
  <c r="X25" i="5"/>
  <c r="V26" i="4"/>
  <c r="AD37" i="7"/>
  <c r="W17" i="5"/>
  <c r="AD24" i="4"/>
  <c r="V22" i="4"/>
  <c r="W22" i="4" s="1"/>
  <c r="Y19" i="5"/>
  <c r="W34" i="4"/>
  <c r="Y34" i="4"/>
  <c r="Y11" i="6"/>
  <c r="Y23" i="3"/>
  <c r="AL26" i="4"/>
  <c r="X17" i="4"/>
  <c r="X17" i="5"/>
  <c r="AC11" i="6"/>
  <c r="Y25" i="5"/>
  <c r="X7" i="4"/>
  <c r="Y5" i="6"/>
  <c r="X32" i="7"/>
  <c r="V24" i="4"/>
  <c r="Y24" i="4" s="1"/>
  <c r="T17" i="4"/>
  <c r="U17" i="4" s="1"/>
  <c r="W25" i="4"/>
  <c r="W44" i="6"/>
  <c r="Y30" i="4"/>
  <c r="W30" i="4"/>
  <c r="W36" i="6"/>
  <c r="X36" i="6"/>
  <c r="V8" i="6"/>
  <c r="AD12" i="6"/>
  <c r="AD9" i="6"/>
  <c r="X10" i="6"/>
  <c r="W10" i="6"/>
  <c r="X32" i="6"/>
  <c r="Y32" i="6"/>
  <c r="Y35" i="6"/>
  <c r="W35" i="6"/>
  <c r="X35" i="6"/>
  <c r="Y22" i="5"/>
  <c r="W21" i="5"/>
  <c r="Y24" i="5"/>
  <c r="X33" i="7"/>
  <c r="Y46" i="7"/>
  <c r="Y18" i="8"/>
  <c r="Y49" i="6"/>
  <c r="Y11" i="3"/>
  <c r="T32" i="7"/>
  <c r="U32" i="7" s="1"/>
  <c r="X52" i="6"/>
  <c r="X51" i="6"/>
  <c r="X26" i="5"/>
  <c r="W8" i="9"/>
  <c r="Y8" i="9"/>
  <c r="Y36" i="6"/>
  <c r="W25" i="5"/>
  <c r="V38" i="7"/>
  <c r="Y38" i="7" s="1"/>
  <c r="Y45" i="6"/>
  <c r="W50" i="6"/>
  <c r="AD11" i="6"/>
  <c r="Y17" i="3"/>
  <c r="Y20" i="4"/>
  <c r="W20" i="4"/>
  <c r="W46" i="6"/>
  <c r="Y46" i="6"/>
  <c r="Y33" i="7"/>
  <c r="W33" i="7"/>
  <c r="W47" i="6"/>
  <c r="Y47" i="6"/>
  <c r="Y48" i="6"/>
  <c r="W48" i="6"/>
  <c r="T23" i="4"/>
  <c r="U23" i="4" s="1"/>
  <c r="V23" i="4"/>
  <c r="AC10" i="6"/>
  <c r="W13" i="3"/>
  <c r="X13" i="3"/>
  <c r="Y13" i="3"/>
  <c r="Y11" i="8"/>
  <c r="W11" i="8"/>
  <c r="T18" i="4"/>
  <c r="U18" i="4" s="1"/>
  <c r="V18" i="4"/>
  <c r="V10" i="3"/>
  <c r="Y10" i="3" s="1"/>
  <c r="X13" i="4"/>
  <c r="X39" i="6"/>
  <c r="Y39" i="6"/>
  <c r="W39" i="6"/>
  <c r="X38" i="6"/>
  <c r="Y38" i="6"/>
  <c r="X20" i="3"/>
  <c r="Y20" i="3"/>
  <c r="W20" i="3"/>
  <c r="W12" i="3"/>
  <c r="Y12" i="3"/>
  <c r="X12" i="3"/>
  <c r="W7" i="3"/>
  <c r="X7" i="3"/>
  <c r="Y7" i="3"/>
  <c r="Y51" i="6"/>
  <c r="T38" i="7"/>
  <c r="U38" i="7" s="1"/>
  <c r="X36" i="7"/>
  <c r="T36" i="7"/>
  <c r="U36" i="7" s="1"/>
  <c r="V39" i="7"/>
  <c r="X39" i="7"/>
  <c r="AD22" i="4"/>
  <c r="X26" i="4"/>
  <c r="Y26" i="4"/>
  <c r="X47" i="6"/>
  <c r="W52" i="6"/>
  <c r="V53" i="6"/>
  <c r="Y36" i="7"/>
  <c r="AC7" i="6"/>
  <c r="W22" i="3"/>
  <c r="Y22" i="3"/>
  <c r="X9" i="3"/>
  <c r="V9" i="3"/>
  <c r="AC34" i="7"/>
  <c r="X10" i="5"/>
  <c r="X9" i="5"/>
  <c r="T5" i="4"/>
  <c r="U5" i="4" s="1"/>
  <c r="V7" i="4"/>
  <c r="Y7" i="4" s="1"/>
  <c r="V13" i="4"/>
  <c r="AD10" i="6"/>
  <c r="X5" i="6"/>
  <c r="X6" i="6"/>
  <c r="W6" i="6"/>
  <c r="AC4" i="6"/>
  <c r="W4" i="6"/>
  <c r="X6" i="3"/>
  <c r="Y6" i="3"/>
  <c r="W6" i="3"/>
  <c r="X25" i="3"/>
  <c r="W38" i="6"/>
  <c r="T33" i="7"/>
  <c r="U33" i="7" s="1"/>
  <c r="X37" i="7"/>
  <c r="Y17" i="4"/>
  <c r="W17" i="4"/>
  <c r="X25" i="4"/>
  <c r="Y53" i="6"/>
  <c r="W51" i="6"/>
  <c r="X9" i="6"/>
  <c r="W9" i="6"/>
  <c r="Y9" i="6"/>
  <c r="AC13" i="6"/>
  <c r="AD13" i="6"/>
  <c r="X4" i="3"/>
  <c r="W4" i="3"/>
  <c r="W36" i="7"/>
  <c r="X45" i="6"/>
  <c r="W13" i="4"/>
  <c r="W47" i="7"/>
  <c r="X47" i="7"/>
  <c r="Y47" i="7"/>
  <c r="Y33" i="6"/>
  <c r="X33" i="6"/>
  <c r="W33" i="6"/>
  <c r="X4" i="6"/>
  <c r="Y4" i="6"/>
  <c r="AC6" i="6"/>
  <c r="Y26" i="3"/>
  <c r="W26" i="3"/>
  <c r="X26" i="3"/>
  <c r="W18" i="3"/>
  <c r="Y18" i="3"/>
  <c r="X18" i="3"/>
  <c r="X23" i="3"/>
  <c r="W23" i="3"/>
  <c r="Y9" i="7"/>
  <c r="W9" i="7"/>
  <c r="X22" i="3"/>
  <c r="V34" i="7"/>
  <c r="X18" i="4"/>
  <c r="Y21" i="4"/>
  <c r="X23" i="4"/>
  <c r="X24" i="4"/>
  <c r="Y44" i="6"/>
  <c r="Y13" i="6"/>
  <c r="W13" i="6"/>
  <c r="X13" i="6"/>
  <c r="Y21" i="3"/>
  <c r="W21" i="3"/>
  <c r="Y9" i="4"/>
  <c r="V6" i="4"/>
  <c r="W6" i="4" s="1"/>
  <c r="T34" i="7"/>
  <c r="U34" i="7" s="1"/>
  <c r="AM52" i="6"/>
  <c r="T35" i="7"/>
  <c r="U35" i="7" s="1"/>
  <c r="W12" i="6"/>
  <c r="X12" i="6"/>
  <c r="Y12" i="6"/>
  <c r="X7" i="6"/>
  <c r="Y7" i="6"/>
  <c r="W7" i="6"/>
  <c r="W5" i="3"/>
  <c r="X5" i="3"/>
  <c r="Y5" i="3"/>
  <c r="V37" i="7"/>
  <c r="W32" i="7"/>
  <c r="Y32" i="7"/>
  <c r="AM23" i="4"/>
  <c r="AK23" i="4"/>
  <c r="Y50" i="6"/>
  <c r="X17" i="3"/>
  <c r="Y4" i="3"/>
  <c r="T20" i="4"/>
  <c r="U20" i="4" s="1"/>
  <c r="X20" i="4"/>
  <c r="AC5" i="6"/>
  <c r="X31" i="6"/>
  <c r="W31" i="6"/>
  <c r="AD38" i="7"/>
  <c r="W9" i="4"/>
  <c r="V35" i="7"/>
  <c r="Y35" i="7" s="1"/>
  <c r="AC8" i="6"/>
  <c r="X11" i="6"/>
  <c r="W11" i="6"/>
  <c r="X24" i="3"/>
  <c r="Y24" i="3"/>
  <c r="W24" i="3"/>
  <c r="X8" i="3"/>
  <c r="W8" i="3"/>
  <c r="Y8" i="3"/>
  <c r="X11" i="3"/>
  <c r="W11" i="3"/>
  <c r="AC39" i="7"/>
  <c r="X22" i="4"/>
  <c r="W21" i="4"/>
  <c r="Y19" i="4"/>
  <c r="W19" i="4"/>
  <c r="AC22" i="4"/>
  <c r="W17" i="3"/>
  <c r="X50" i="6"/>
  <c r="X46" i="6"/>
  <c r="X48" i="6"/>
  <c r="AC10" i="4"/>
  <c r="AD10" i="4"/>
  <c r="V13" i="5"/>
  <c r="J109" i="8"/>
  <c r="J98" i="8"/>
  <c r="J105" i="8"/>
  <c r="J102" i="8"/>
  <c r="J108" i="8"/>
  <c r="J95" i="8"/>
  <c r="J81" i="8"/>
  <c r="J91" i="8"/>
  <c r="J89" i="8"/>
  <c r="J110" i="8"/>
  <c r="J114" i="8"/>
  <c r="J100" i="8"/>
  <c r="J104" i="8"/>
  <c r="J83" i="8"/>
  <c r="J111" i="8"/>
  <c r="J93" i="8"/>
  <c r="J107" i="8"/>
  <c r="J84" i="8"/>
  <c r="J90" i="8"/>
  <c r="J85" i="8"/>
  <c r="J96" i="8"/>
  <c r="J86" i="8"/>
  <c r="J92" i="8"/>
  <c r="J97" i="8"/>
  <c r="J94" i="8"/>
  <c r="J113" i="8"/>
  <c r="J99" i="8"/>
  <c r="J101" i="8"/>
  <c r="J82" i="8"/>
  <c r="H110" i="3"/>
  <c r="H102" i="3"/>
  <c r="H100" i="3"/>
  <c r="H84" i="3"/>
  <c r="H87" i="3"/>
  <c r="H90" i="3"/>
  <c r="H101" i="3"/>
  <c r="H93" i="3"/>
  <c r="H82" i="3"/>
  <c r="H91" i="3"/>
  <c r="H81" i="3"/>
  <c r="H86" i="3"/>
  <c r="H85" i="3"/>
  <c r="H105" i="3"/>
  <c r="H114" i="3"/>
  <c r="H97" i="3"/>
  <c r="H95" i="3"/>
  <c r="H89" i="3"/>
  <c r="H107" i="3"/>
  <c r="H112" i="3"/>
  <c r="H83" i="3"/>
  <c r="H88" i="3"/>
  <c r="H109" i="3"/>
  <c r="H106" i="3"/>
  <c r="H111" i="3"/>
  <c r="H92" i="3"/>
  <c r="H94" i="3"/>
  <c r="H104" i="3"/>
  <c r="H113" i="3"/>
  <c r="AC13" i="4"/>
  <c r="AD13" i="4"/>
  <c r="J87" i="8"/>
  <c r="V8" i="4"/>
  <c r="X8" i="4"/>
  <c r="T8" i="4"/>
  <c r="U8" i="4" s="1"/>
  <c r="X6" i="2"/>
  <c r="W6" i="2"/>
  <c r="Y6" i="2"/>
  <c r="J112" i="8"/>
  <c r="M36" i="4"/>
  <c r="G50" i="4" s="1"/>
  <c r="G49" i="4" s="1"/>
  <c r="T30" i="4"/>
  <c r="AD32" i="4"/>
  <c r="T36" i="4"/>
  <c r="T35" i="4"/>
  <c r="T37" i="4"/>
  <c r="T34" i="4"/>
  <c r="T31" i="4"/>
  <c r="T32" i="4"/>
  <c r="AD37" i="4"/>
  <c r="T33" i="4"/>
  <c r="AD30" i="4"/>
  <c r="AD31" i="4"/>
  <c r="D49" i="6"/>
  <c r="M8" i="6" s="1"/>
  <c r="E44" i="6"/>
  <c r="E49" i="6" s="1"/>
  <c r="M21" i="6" s="1"/>
  <c r="J115" i="3"/>
  <c r="G72" i="3" s="1"/>
  <c r="G73" i="3" s="1"/>
  <c r="G47" i="3" s="1"/>
  <c r="H99" i="3"/>
  <c r="G92" i="9"/>
  <c r="J90" i="5"/>
  <c r="J93" i="5"/>
  <c r="J112" i="5"/>
  <c r="J111" i="5"/>
  <c r="J105" i="5"/>
  <c r="J107" i="5"/>
  <c r="J82" i="5"/>
  <c r="J97" i="5"/>
  <c r="J84" i="5"/>
  <c r="J95" i="5"/>
  <c r="J86" i="5"/>
  <c r="J113" i="5"/>
  <c r="J100" i="5"/>
  <c r="H107" i="5"/>
  <c r="H83" i="5"/>
  <c r="H113" i="5"/>
  <c r="J104" i="7"/>
  <c r="J86" i="7"/>
  <c r="J84" i="7"/>
  <c r="J105" i="7"/>
  <c r="J115" i="7"/>
  <c r="J112" i="7"/>
  <c r="J99" i="7"/>
  <c r="J90" i="7"/>
  <c r="J92" i="7"/>
  <c r="J96" i="7"/>
  <c r="J109" i="7"/>
  <c r="J83" i="7"/>
  <c r="J94" i="7"/>
  <c r="J114" i="7"/>
  <c r="J103" i="7"/>
  <c r="J95" i="7"/>
  <c r="J100" i="7"/>
  <c r="J82" i="7"/>
  <c r="J97" i="7"/>
  <c r="J91" i="7"/>
  <c r="J89" i="7"/>
  <c r="J110" i="7"/>
  <c r="H101" i="5"/>
  <c r="H108" i="5"/>
  <c r="H86" i="5"/>
  <c r="H96" i="5"/>
  <c r="V12" i="4"/>
  <c r="AC12" i="4"/>
  <c r="AD12" i="4"/>
  <c r="Y4" i="4"/>
  <c r="W4" i="4"/>
  <c r="X4" i="4"/>
  <c r="X31" i="5"/>
  <c r="W31" i="5"/>
  <c r="Y31" i="5"/>
  <c r="W13" i="2"/>
  <c r="X13" i="2"/>
  <c r="Y13" i="2"/>
  <c r="X4" i="2"/>
  <c r="Y4" i="2"/>
  <c r="W4" i="2"/>
  <c r="AD123" i="2"/>
  <c r="E72" i="2" s="1"/>
  <c r="E73" i="2" s="1"/>
  <c r="E46" i="2" s="1"/>
  <c r="AC9" i="6"/>
  <c r="G107" i="9"/>
  <c r="G99" i="9"/>
  <c r="G109" i="9"/>
  <c r="G105" i="9"/>
  <c r="G95" i="9"/>
  <c r="G98" i="9"/>
  <c r="G106" i="9"/>
  <c r="G96" i="9"/>
  <c r="G82" i="9"/>
  <c r="K113" i="6"/>
  <c r="K102" i="6"/>
  <c r="K92" i="6"/>
  <c r="K91" i="6"/>
  <c r="K109" i="6"/>
  <c r="K106" i="6"/>
  <c r="K90" i="6"/>
  <c r="K86" i="6"/>
  <c r="K88" i="6"/>
  <c r="K100" i="6"/>
  <c r="K85" i="6"/>
  <c r="K114" i="6"/>
  <c r="K105" i="6"/>
  <c r="K89" i="6"/>
  <c r="K95" i="6"/>
  <c r="K82" i="6"/>
  <c r="K84" i="6"/>
  <c r="K99" i="6"/>
  <c r="K81" i="6"/>
  <c r="K87" i="6"/>
  <c r="K110" i="6"/>
  <c r="K83" i="6"/>
  <c r="K96" i="6"/>
  <c r="K111" i="6"/>
  <c r="K93" i="6"/>
  <c r="K101" i="6"/>
  <c r="K97" i="6"/>
  <c r="K108" i="6"/>
  <c r="K112" i="6"/>
  <c r="K104" i="6"/>
  <c r="K103" i="6"/>
  <c r="K107" i="6"/>
  <c r="K98" i="6"/>
  <c r="K94" i="6"/>
  <c r="G81" i="9"/>
  <c r="G108" i="9"/>
  <c r="I115" i="3"/>
  <c r="E72" i="3" s="1"/>
  <c r="E73" i="3" s="1"/>
  <c r="E47" i="3" s="1"/>
  <c r="E48" i="3" s="1"/>
  <c r="M20" i="3" s="1"/>
  <c r="G43" i="5"/>
  <c r="G48" i="5" s="1"/>
  <c r="M34" i="5" s="1"/>
  <c r="G47" i="5"/>
  <c r="M33" i="5" s="1"/>
  <c r="D42" i="5"/>
  <c r="H45" i="7"/>
  <c r="AD9" i="4"/>
  <c r="AC9" i="4"/>
  <c r="H98" i="5"/>
  <c r="H104" i="5"/>
  <c r="H112" i="5"/>
  <c r="H82" i="5"/>
  <c r="X6" i="4"/>
  <c r="Y5" i="4"/>
  <c r="W5" i="4"/>
  <c r="X32" i="5"/>
  <c r="Y32" i="5"/>
  <c r="W32" i="5"/>
  <c r="Y12" i="2"/>
  <c r="W12" i="2"/>
  <c r="X12" i="2"/>
  <c r="X5" i="2"/>
  <c r="Y5" i="2"/>
  <c r="W5" i="2"/>
  <c r="Y8" i="8"/>
  <c r="W8" i="8"/>
  <c r="G43" i="8"/>
  <c r="G48" i="8" s="1"/>
  <c r="M34" i="8" s="1"/>
  <c r="G47" i="8"/>
  <c r="M33" i="8" s="1"/>
  <c r="J101" i="5"/>
  <c r="J115" i="6"/>
  <c r="G72" i="6" s="1"/>
  <c r="G73" i="6" s="1"/>
  <c r="G110" i="9"/>
  <c r="G90" i="9"/>
  <c r="G103" i="9"/>
  <c r="G80" i="9"/>
  <c r="I114" i="8"/>
  <c r="E71" i="8" s="1"/>
  <c r="E72" i="8" s="1"/>
  <c r="H92" i="5"/>
  <c r="H103" i="5"/>
  <c r="H91" i="5"/>
  <c r="H93" i="5"/>
  <c r="X5" i="4"/>
  <c r="J110" i="5"/>
  <c r="D49" i="7"/>
  <c r="M7" i="7" s="1"/>
  <c r="D50" i="7"/>
  <c r="M8" i="7" s="1"/>
  <c r="G83" i="9"/>
  <c r="G111" i="9"/>
  <c r="G100" i="9"/>
  <c r="G94" i="9"/>
  <c r="J114" i="4"/>
  <c r="G71" i="4" s="1"/>
  <c r="G72" i="4" s="1"/>
  <c r="H105" i="6"/>
  <c r="H111" i="6"/>
  <c r="H87" i="6"/>
  <c r="H85" i="6"/>
  <c r="H110" i="6"/>
  <c r="H107" i="6"/>
  <c r="H104" i="6"/>
  <c r="H82" i="6"/>
  <c r="H114" i="6"/>
  <c r="H102" i="6"/>
  <c r="H88" i="6"/>
  <c r="H92" i="6"/>
  <c r="H113" i="6"/>
  <c r="H97" i="6"/>
  <c r="H89" i="6"/>
  <c r="H90" i="6"/>
  <c r="H99" i="6"/>
  <c r="H109" i="6"/>
  <c r="H96" i="6"/>
  <c r="H100" i="6"/>
  <c r="H95" i="6"/>
  <c r="H86" i="6"/>
  <c r="H112" i="6"/>
  <c r="H106" i="6"/>
  <c r="H95" i="5"/>
  <c r="H97" i="5"/>
  <c r="H87" i="5"/>
  <c r="H85" i="5"/>
  <c r="Y13" i="4"/>
  <c r="Y8" i="2"/>
  <c r="M10" i="6"/>
  <c r="D51" i="6" s="1"/>
  <c r="T13" i="6"/>
  <c r="T4" i="6"/>
  <c r="T9" i="6"/>
  <c r="T10" i="6"/>
  <c r="U10" i="6" s="1"/>
  <c r="T8" i="6"/>
  <c r="T5" i="6"/>
  <c r="U5" i="6" s="1"/>
  <c r="T11" i="6"/>
  <c r="T7" i="6"/>
  <c r="T12" i="6"/>
  <c r="T6" i="6"/>
  <c r="J85" i="5"/>
  <c r="H99" i="7"/>
  <c r="H110" i="7"/>
  <c r="H108" i="7"/>
  <c r="H112" i="7"/>
  <c r="H115" i="7"/>
  <c r="H83" i="7"/>
  <c r="H104" i="7"/>
  <c r="H100" i="7"/>
  <c r="H88" i="7"/>
  <c r="H107" i="7"/>
  <c r="H82" i="7"/>
  <c r="H114" i="7"/>
  <c r="H106" i="7"/>
  <c r="H109" i="7"/>
  <c r="H84" i="7"/>
  <c r="H113" i="7"/>
  <c r="H91" i="7"/>
  <c r="H111" i="7"/>
  <c r="H92" i="7"/>
  <c r="H103" i="7"/>
  <c r="H85" i="7"/>
  <c r="H94" i="7"/>
  <c r="H93" i="7"/>
  <c r="H96" i="7"/>
  <c r="H97" i="7"/>
  <c r="H87" i="7"/>
  <c r="H89" i="7"/>
  <c r="H102" i="7"/>
  <c r="H90" i="7"/>
  <c r="H86" i="7"/>
  <c r="G97" i="9"/>
  <c r="G84" i="9"/>
  <c r="G91" i="9"/>
  <c r="H84" i="5"/>
  <c r="H90" i="5"/>
  <c r="H110" i="5"/>
  <c r="X45" i="7"/>
  <c r="V45" i="7"/>
  <c r="X7" i="2"/>
  <c r="Y7" i="2"/>
  <c r="W7" i="2"/>
  <c r="K114" i="5"/>
  <c r="H71" i="5" s="1"/>
  <c r="H72" i="5" s="1"/>
  <c r="H46" i="5" s="1"/>
  <c r="AC25" i="6"/>
  <c r="E44" i="3"/>
  <c r="V10" i="4"/>
  <c r="T10" i="4"/>
  <c r="U10" i="4" s="1"/>
  <c r="X10" i="4"/>
  <c r="Y4" i="5"/>
  <c r="W4" i="5"/>
  <c r="V9" i="2"/>
  <c r="X9" i="2"/>
  <c r="X10" i="2"/>
  <c r="Y10" i="2"/>
  <c r="W10" i="2"/>
  <c r="AC12" i="6"/>
  <c r="M23" i="6"/>
  <c r="E51" i="6" s="1"/>
  <c r="T25" i="6"/>
  <c r="U25" i="6" s="1"/>
  <c r="T20" i="6"/>
  <c r="T21" i="6"/>
  <c r="AC20" i="6"/>
  <c r="T19" i="6"/>
  <c r="T18" i="6"/>
  <c r="U18" i="6" s="1"/>
  <c r="T17" i="6"/>
  <c r="T26" i="6"/>
  <c r="U26" i="6" s="1"/>
  <c r="AD23" i="6"/>
  <c r="T22" i="6"/>
  <c r="U22" i="6" s="1"/>
  <c r="T24" i="6"/>
  <c r="AD25" i="6"/>
  <c r="G113" i="9"/>
  <c r="G86" i="9"/>
  <c r="G89" i="9"/>
  <c r="H114" i="4"/>
  <c r="D71" i="4" s="1"/>
  <c r="D72" i="4" s="1"/>
  <c r="H106" i="5"/>
  <c r="H109" i="5"/>
  <c r="H100" i="5"/>
  <c r="H81" i="5"/>
  <c r="W12" i="4"/>
  <c r="Y12" i="4"/>
  <c r="X12" i="4"/>
  <c r="T4" i="4"/>
  <c r="U4" i="4" s="1"/>
  <c r="T11" i="4"/>
  <c r="U11" i="4" s="1"/>
  <c r="V11" i="4"/>
  <c r="X4" i="5"/>
  <c r="W8" i="2"/>
  <c r="V11" i="2"/>
  <c r="V10" i="5"/>
  <c r="Y10" i="5" s="1"/>
  <c r="V52" i="5"/>
  <c r="V51" i="5"/>
  <c r="X30" i="5"/>
  <c r="W30" i="5"/>
  <c r="Y30" i="5"/>
  <c r="V7" i="5"/>
  <c r="V6" i="5"/>
  <c r="W6" i="5" s="1"/>
  <c r="W52" i="5"/>
  <c r="Y52" i="5"/>
  <c r="X52" i="5"/>
  <c r="X49" i="5"/>
  <c r="Y13" i="5"/>
  <c r="X13" i="5"/>
  <c r="X43" i="5"/>
  <c r="W44" i="5"/>
  <c r="X44" i="5"/>
  <c r="Y44" i="5"/>
  <c r="W10" i="9"/>
  <c r="Y10" i="9"/>
  <c r="X5" i="5"/>
  <c r="W11" i="5"/>
  <c r="Y11" i="5"/>
  <c r="X47" i="5"/>
  <c r="Y47" i="5"/>
  <c r="W47" i="5"/>
  <c r="V43" i="5"/>
  <c r="X33" i="5"/>
  <c r="W33" i="5"/>
  <c r="Y33" i="5"/>
  <c r="V48" i="5"/>
  <c r="W48" i="5" s="1"/>
  <c r="X8" i="5"/>
  <c r="Y8" i="5"/>
  <c r="W8" i="5"/>
  <c r="X6" i="5"/>
  <c r="W51" i="5"/>
  <c r="X51" i="5"/>
  <c r="W13" i="5"/>
  <c r="V5" i="5"/>
  <c r="V12" i="5"/>
  <c r="V9" i="5"/>
  <c r="W12" i="5"/>
  <c r="X12" i="5"/>
  <c r="X50" i="5"/>
  <c r="Y50" i="5"/>
  <c r="W50" i="5"/>
  <c r="V49" i="5"/>
  <c r="W49" i="5" s="1"/>
  <c r="X48" i="5"/>
  <c r="X11" i="5"/>
  <c r="X46" i="5"/>
  <c r="V46" i="5"/>
  <c r="AD10" i="9" l="1"/>
  <c r="AP10" i="9"/>
  <c r="T10" i="9"/>
  <c r="U10" i="9" s="1"/>
  <c r="AN10" i="9"/>
  <c r="AM10" i="9"/>
  <c r="AC10" i="9"/>
  <c r="AQ10" i="9"/>
  <c r="AO10" i="9"/>
  <c r="AC9" i="9"/>
  <c r="AD9" i="9"/>
  <c r="T8" i="9"/>
  <c r="AB8" i="9" s="1"/>
  <c r="AD8" i="9"/>
  <c r="AQ9" i="9"/>
  <c r="AN44" i="6"/>
  <c r="AC8" i="9"/>
  <c r="AO8" i="9"/>
  <c r="AM8" i="9"/>
  <c r="AN8" i="9"/>
  <c r="AN9" i="9"/>
  <c r="AO9" i="9"/>
  <c r="AM9" i="9"/>
  <c r="AP9" i="9"/>
  <c r="AQ8" i="9"/>
  <c r="AP8" i="9"/>
  <c r="AO5" i="9"/>
  <c r="AN4" i="9"/>
  <c r="AQ4" i="9"/>
  <c r="AO7" i="9"/>
  <c r="AN7" i="9"/>
  <c r="AP4" i="9"/>
  <c r="AM5" i="9"/>
  <c r="AP5" i="9"/>
  <c r="AP6" i="9"/>
  <c r="AP7" i="9"/>
  <c r="AM7" i="9"/>
  <c r="AN5" i="9"/>
  <c r="AO6" i="9"/>
  <c r="AN6" i="9"/>
  <c r="AQ6" i="9"/>
  <c r="AM6" i="9"/>
  <c r="AM4" i="9"/>
  <c r="AO4" i="9"/>
  <c r="AQ7" i="9"/>
  <c r="AQ5" i="9"/>
  <c r="T4" i="9"/>
  <c r="T6" i="9"/>
  <c r="M10" i="9"/>
  <c r="E50" i="9" s="1"/>
  <c r="T5" i="9"/>
  <c r="T7" i="9"/>
  <c r="AC5" i="9"/>
  <c r="AC7" i="9"/>
  <c r="AC4" i="9"/>
  <c r="AC6" i="9"/>
  <c r="AD4" i="9"/>
  <c r="AD5" i="9"/>
  <c r="AD6" i="9"/>
  <c r="AD7" i="9"/>
  <c r="AM33" i="7"/>
  <c r="AM17" i="7"/>
  <c r="AL22" i="7"/>
  <c r="AN49" i="6"/>
  <c r="AN34" i="6"/>
  <c r="AK17" i="4"/>
  <c r="AN17" i="4" s="1"/>
  <c r="AK20" i="4"/>
  <c r="AN20" i="4" s="1"/>
  <c r="AM20" i="4"/>
  <c r="AL20" i="4"/>
  <c r="AN34" i="4"/>
  <c r="Y19" i="2"/>
  <c r="Y21" i="2"/>
  <c r="AB23" i="2"/>
  <c r="AF23" i="2" s="1"/>
  <c r="AM23" i="2"/>
  <c r="AL23" i="2"/>
  <c r="AK21" i="8"/>
  <c r="AN21" i="8" s="1"/>
  <c r="Y18" i="2"/>
  <c r="Y20" i="2"/>
  <c r="AM21" i="8"/>
  <c r="AL21" i="8"/>
  <c r="I114" i="4"/>
  <c r="E71" i="4" s="1"/>
  <c r="E72" i="4" s="1"/>
  <c r="K117" i="7"/>
  <c r="H73" i="7" s="1"/>
  <c r="H74" i="7" s="1"/>
  <c r="H48" i="7" s="1"/>
  <c r="H49" i="7" s="1"/>
  <c r="M48" i="7" s="1"/>
  <c r="AC45" i="7" s="1"/>
  <c r="AM11" i="4"/>
  <c r="AM8" i="4"/>
  <c r="AM6" i="4"/>
  <c r="AK6" i="4"/>
  <c r="AN6" i="4" s="1"/>
  <c r="AM30" i="4"/>
  <c r="W32" i="3"/>
  <c r="AL30" i="4"/>
  <c r="AK30" i="4"/>
  <c r="AL35" i="4"/>
  <c r="AM31" i="8"/>
  <c r="AL33" i="4"/>
  <c r="AM31" i="4"/>
  <c r="AM33" i="4"/>
  <c r="AL31" i="4"/>
  <c r="AM37" i="4"/>
  <c r="W23" i="8"/>
  <c r="AL32" i="4"/>
  <c r="AK31" i="4"/>
  <c r="AL37" i="4"/>
  <c r="AK37" i="4"/>
  <c r="AK9" i="8"/>
  <c r="AN9" i="8" s="1"/>
  <c r="AM9" i="8"/>
  <c r="AL9" i="8"/>
  <c r="AL8" i="8"/>
  <c r="AL25" i="4"/>
  <c r="AK25" i="4"/>
  <c r="E49" i="3"/>
  <c r="M21" i="3" s="1"/>
  <c r="AM4" i="7"/>
  <c r="AL6" i="4"/>
  <c r="AL5" i="4"/>
  <c r="AK6" i="8"/>
  <c r="AM7" i="8"/>
  <c r="AK13" i="8"/>
  <c r="AM13" i="8"/>
  <c r="AM6" i="8"/>
  <c r="AL6" i="8"/>
  <c r="AL36" i="4"/>
  <c r="AK7" i="4"/>
  <c r="AN7" i="4" s="1"/>
  <c r="AL7" i="4"/>
  <c r="AD38" i="5"/>
  <c r="AK36" i="4"/>
  <c r="AL21" i="7"/>
  <c r="AM36" i="4"/>
  <c r="AL34" i="5"/>
  <c r="AL17" i="7"/>
  <c r="AL39" i="6"/>
  <c r="AC31" i="5"/>
  <c r="AK19" i="7"/>
  <c r="AN19" i="7" s="1"/>
  <c r="AM24" i="7"/>
  <c r="AC34" i="5"/>
  <c r="AL48" i="5"/>
  <c r="AC35" i="5"/>
  <c r="AK17" i="7"/>
  <c r="AM32" i="4"/>
  <c r="AC38" i="5"/>
  <c r="AD35" i="5"/>
  <c r="AK17" i="8"/>
  <c r="AC39" i="5"/>
  <c r="AD31" i="5"/>
  <c r="AD34" i="5"/>
  <c r="AM17" i="8"/>
  <c r="AL17" i="8"/>
  <c r="AK32" i="4"/>
  <c r="AM7" i="7"/>
  <c r="W10" i="3"/>
  <c r="Y20" i="8"/>
  <c r="AB20" i="8" s="1"/>
  <c r="AE20" i="8" s="1"/>
  <c r="AO20" i="8" s="1"/>
  <c r="AM35" i="6"/>
  <c r="AK39" i="6"/>
  <c r="AK24" i="7"/>
  <c r="AB26" i="8"/>
  <c r="AF26" i="8" s="1"/>
  <c r="AL33" i="7"/>
  <c r="AM36" i="6"/>
  <c r="AK7" i="7"/>
  <c r="AN7" i="7" s="1"/>
  <c r="AB13" i="8"/>
  <c r="AF13" i="8" s="1"/>
  <c r="W10" i="8"/>
  <c r="AB10" i="8" s="1"/>
  <c r="AL19" i="4"/>
  <c r="AL24" i="7"/>
  <c r="AB26" i="7"/>
  <c r="AF26" i="7" s="1"/>
  <c r="W34" i="6"/>
  <c r="AB34" i="6" s="1"/>
  <c r="AF34" i="6" s="1"/>
  <c r="AP34" i="6" s="1"/>
  <c r="AL37" i="7"/>
  <c r="AL23" i="8"/>
  <c r="AL37" i="6"/>
  <c r="AB37" i="6"/>
  <c r="AE37" i="6" s="1"/>
  <c r="W35" i="7"/>
  <c r="AB35" i="7" s="1"/>
  <c r="AK35" i="6"/>
  <c r="AL35" i="6"/>
  <c r="AM23" i="7"/>
  <c r="AK7" i="8"/>
  <c r="AK32" i="6"/>
  <c r="AL13" i="8"/>
  <c r="Y18" i="7"/>
  <c r="AB18" i="7" s="1"/>
  <c r="AM38" i="6"/>
  <c r="AK31" i="6"/>
  <c r="AN31" i="6" s="1"/>
  <c r="AK11" i="8"/>
  <c r="AK33" i="6"/>
  <c r="AM31" i="6"/>
  <c r="AL33" i="6"/>
  <c r="AK36" i="6"/>
  <c r="AK37" i="6"/>
  <c r="AL25" i="7"/>
  <c r="AM39" i="6"/>
  <c r="AK46" i="6"/>
  <c r="AN46" i="6" s="1"/>
  <c r="AM21" i="7"/>
  <c r="AL19" i="8"/>
  <c r="AK50" i="6"/>
  <c r="Y20" i="7"/>
  <c r="AB20" i="7" s="1"/>
  <c r="AF20" i="7" s="1"/>
  <c r="AM7" i="4"/>
  <c r="Y5" i="8"/>
  <c r="AB5" i="8" s="1"/>
  <c r="AB7" i="8"/>
  <c r="AE7" i="8" s="1"/>
  <c r="AL7" i="8"/>
  <c r="AK52" i="6"/>
  <c r="AK5" i="4"/>
  <c r="AN5" i="4" s="1"/>
  <c r="AL50" i="6"/>
  <c r="W24" i="4"/>
  <c r="AB24" i="4" s="1"/>
  <c r="AE24" i="4" s="1"/>
  <c r="AM5" i="4"/>
  <c r="AM46" i="6"/>
  <c r="AK10" i="8"/>
  <c r="AL32" i="6"/>
  <c r="AM19" i="4"/>
  <c r="AM32" i="6"/>
  <c r="AK22" i="8"/>
  <c r="AN22" i="8" s="1"/>
  <c r="AL10" i="8"/>
  <c r="AK18" i="7"/>
  <c r="AN18" i="7" s="1"/>
  <c r="AK33" i="7"/>
  <c r="AM12" i="8"/>
  <c r="AB9" i="8"/>
  <c r="AF9" i="8" s="1"/>
  <c r="AL18" i="8"/>
  <c r="AM10" i="8"/>
  <c r="AL4" i="8"/>
  <c r="AB17" i="7"/>
  <c r="AE17" i="7" s="1"/>
  <c r="AL45" i="7"/>
  <c r="AK5" i="8"/>
  <c r="AB4" i="8"/>
  <c r="AF4" i="8" s="1"/>
  <c r="AL36" i="6"/>
  <c r="AK26" i="7"/>
  <c r="Y6" i="8"/>
  <c r="AB6" i="8" s="1"/>
  <c r="AE6" i="8" s="1"/>
  <c r="AK19" i="4"/>
  <c r="AN19" i="4" s="1"/>
  <c r="W23" i="7"/>
  <c r="AB23" i="7" s="1"/>
  <c r="AE23" i="7" s="1"/>
  <c r="Y4" i="7"/>
  <c r="AB18" i="8"/>
  <c r="AF18" i="8" s="1"/>
  <c r="AL11" i="8"/>
  <c r="AK53" i="6"/>
  <c r="AK40" i="6"/>
  <c r="AL24" i="4"/>
  <c r="AM11" i="8"/>
  <c r="AB40" i="6"/>
  <c r="AE40" i="6" s="1"/>
  <c r="AL38" i="6"/>
  <c r="AD4" i="7"/>
  <c r="AK22" i="7"/>
  <c r="AN22" i="7" s="1"/>
  <c r="AL26" i="7"/>
  <c r="AM22" i="7"/>
  <c r="AB18" i="6"/>
  <c r="AF18" i="6" s="1"/>
  <c r="AK25" i="7"/>
  <c r="AL5" i="8"/>
  <c r="AK23" i="7"/>
  <c r="AB21" i="7"/>
  <c r="AE21" i="7" s="1"/>
  <c r="AM5" i="8"/>
  <c r="AM40" i="6"/>
  <c r="W20" i="5"/>
  <c r="AL40" i="6"/>
  <c r="AK38" i="6"/>
  <c r="AL26" i="8"/>
  <c r="AL47" i="6"/>
  <c r="AL22" i="8"/>
  <c r="AK21" i="7"/>
  <c r="AN21" i="7" s="1"/>
  <c r="AL10" i="6"/>
  <c r="AM47" i="6"/>
  <c r="AK23" i="8"/>
  <c r="AK47" i="6"/>
  <c r="AB24" i="8"/>
  <c r="AE24" i="8" s="1"/>
  <c r="AB11" i="9"/>
  <c r="AF11" i="9" s="1"/>
  <c r="AK26" i="8"/>
  <c r="AK12" i="8"/>
  <c r="AM22" i="8"/>
  <c r="AK37" i="7"/>
  <c r="AK8" i="8"/>
  <c r="AN8" i="8" s="1"/>
  <c r="AM53" i="6"/>
  <c r="AM8" i="8"/>
  <c r="AB23" i="6"/>
  <c r="AF23" i="6" s="1"/>
  <c r="AK4" i="8"/>
  <c r="AB22" i="8"/>
  <c r="AE22" i="8" s="1"/>
  <c r="AM48" i="7"/>
  <c r="AB25" i="4"/>
  <c r="AF25" i="4" s="1"/>
  <c r="U23" i="6"/>
  <c r="AK45" i="6"/>
  <c r="AB25" i="8"/>
  <c r="AE25" i="8" s="1"/>
  <c r="AL47" i="7"/>
  <c r="AK18" i="4"/>
  <c r="AN18" i="4" s="1"/>
  <c r="AM25" i="7"/>
  <c r="AB17" i="8"/>
  <c r="AF17" i="8" s="1"/>
  <c r="AB19" i="7"/>
  <c r="AK18" i="8"/>
  <c r="AN18" i="8" s="1"/>
  <c r="AL25" i="8"/>
  <c r="AM25" i="8"/>
  <c r="AL38" i="7"/>
  <c r="AL20" i="7"/>
  <c r="AB9" i="9"/>
  <c r="AB24" i="7"/>
  <c r="AF24" i="7" s="1"/>
  <c r="AB12" i="8"/>
  <c r="AE12" i="8" s="1"/>
  <c r="AM4" i="8"/>
  <c r="AK20" i="7"/>
  <c r="AN20" i="7" s="1"/>
  <c r="AL18" i="4"/>
  <c r="AM23" i="8"/>
  <c r="AM18" i="4"/>
  <c r="AB31" i="6"/>
  <c r="AE31" i="6" s="1"/>
  <c r="AO31" i="6" s="1"/>
  <c r="AL23" i="7"/>
  <c r="AB21" i="8"/>
  <c r="AE21" i="8" s="1"/>
  <c r="AM4" i="4"/>
  <c r="AM18" i="7"/>
  <c r="AL12" i="8"/>
  <c r="W10" i="7"/>
  <c r="Y10" i="7"/>
  <c r="AL18" i="7"/>
  <c r="AM19" i="7"/>
  <c r="AL19" i="7"/>
  <c r="AM20" i="7"/>
  <c r="AL35" i="7"/>
  <c r="AK48" i="7"/>
  <c r="AB19" i="8"/>
  <c r="AF19" i="8" s="1"/>
  <c r="AP19" i="8" s="1"/>
  <c r="AL51" i="6"/>
  <c r="AM19" i="8"/>
  <c r="AK52" i="5"/>
  <c r="I114" i="5"/>
  <c r="E71" i="5" s="1"/>
  <c r="E72" i="5" s="1"/>
  <c r="AM20" i="8"/>
  <c r="AB22" i="7"/>
  <c r="AB25" i="7"/>
  <c r="AM38" i="7"/>
  <c r="G114" i="9"/>
  <c r="D71" i="9" s="1"/>
  <c r="D72" i="9" s="1"/>
  <c r="AD39" i="5"/>
  <c r="AL20" i="8"/>
  <c r="AM50" i="5"/>
  <c r="H114" i="5"/>
  <c r="D71" i="5" s="1"/>
  <c r="D72" i="5" s="1"/>
  <c r="J115" i="8"/>
  <c r="G71" i="8" s="1"/>
  <c r="G72" i="8" s="1"/>
  <c r="AL21" i="4"/>
  <c r="D47" i="2"/>
  <c r="M7" i="2" s="1"/>
  <c r="AD4" i="2" s="1"/>
  <c r="D48" i="2"/>
  <c r="M8" i="2" s="1"/>
  <c r="AD37" i="5"/>
  <c r="AB32" i="6"/>
  <c r="AE32" i="6" s="1"/>
  <c r="AM46" i="7"/>
  <c r="J114" i="5"/>
  <c r="G71" i="5" s="1"/>
  <c r="G72" i="5" s="1"/>
  <c r="AL46" i="7"/>
  <c r="AM48" i="6"/>
  <c r="AK38" i="7"/>
  <c r="AL48" i="7"/>
  <c r="AK35" i="7"/>
  <c r="AM17" i="4"/>
  <c r="AM35" i="7"/>
  <c r="AK21" i="4"/>
  <c r="AN21" i="4" s="1"/>
  <c r="AM36" i="7"/>
  <c r="AM22" i="4"/>
  <c r="AL4" i="4"/>
  <c r="AK22" i="4"/>
  <c r="W38" i="7"/>
  <c r="AB38" i="7" s="1"/>
  <c r="AB26" i="4"/>
  <c r="AF26" i="4" s="1"/>
  <c r="AK47" i="7"/>
  <c r="AB36" i="7"/>
  <c r="AF36" i="7" s="1"/>
  <c r="AL32" i="7"/>
  <c r="AB17" i="4"/>
  <c r="AE17" i="4" s="1"/>
  <c r="AM32" i="7"/>
  <c r="AM47" i="7"/>
  <c r="AM24" i="4"/>
  <c r="AK48" i="6"/>
  <c r="AL53" i="6"/>
  <c r="AL17" i="4"/>
  <c r="AK51" i="6"/>
  <c r="AM39" i="7"/>
  <c r="AM21" i="4"/>
  <c r="Y6" i="4"/>
  <c r="AB6" i="4" s="1"/>
  <c r="AB19" i="4"/>
  <c r="AF19" i="4" s="1"/>
  <c r="AK39" i="7"/>
  <c r="AB38" i="6"/>
  <c r="AF38" i="6" s="1"/>
  <c r="AL22" i="4"/>
  <c r="AM10" i="4"/>
  <c r="AB21" i="4"/>
  <c r="AE21" i="4" s="1"/>
  <c r="Y22" i="4"/>
  <c r="AB22" i="4" s="1"/>
  <c r="AK31" i="5"/>
  <c r="AM31" i="5"/>
  <c r="AB23" i="8"/>
  <c r="AF23" i="8" s="1"/>
  <c r="AM45" i="7"/>
  <c r="AB35" i="6"/>
  <c r="AF35" i="6" s="1"/>
  <c r="AM51" i="6"/>
  <c r="AB33" i="7"/>
  <c r="AE33" i="7" s="1"/>
  <c r="Y48" i="5"/>
  <c r="AB12" i="4"/>
  <c r="AF12" i="4" s="1"/>
  <c r="AL10" i="4"/>
  <c r="AM37" i="7"/>
  <c r="AM38" i="5"/>
  <c r="AB8" i="8"/>
  <c r="AF8" i="8" s="1"/>
  <c r="AB11" i="8"/>
  <c r="AM45" i="6"/>
  <c r="W10" i="5"/>
  <c r="AB13" i="4"/>
  <c r="AF13" i="4" s="1"/>
  <c r="Y8" i="6"/>
  <c r="W8" i="6"/>
  <c r="AL50" i="5"/>
  <c r="AB33" i="6"/>
  <c r="AE33" i="6" s="1"/>
  <c r="AM34" i="7"/>
  <c r="AK46" i="7"/>
  <c r="AK35" i="5"/>
  <c r="AB20" i="4"/>
  <c r="AE20" i="4" s="1"/>
  <c r="AB36" i="6"/>
  <c r="AK4" i="4"/>
  <c r="AN4" i="4" s="1"/>
  <c r="AK9" i="4"/>
  <c r="AB9" i="4"/>
  <c r="AF9" i="4" s="1"/>
  <c r="AL8" i="4"/>
  <c r="W34" i="7"/>
  <c r="Y34" i="7"/>
  <c r="AL45" i="5"/>
  <c r="AL12" i="4"/>
  <c r="AK34" i="5"/>
  <c r="AL39" i="7"/>
  <c r="AK24" i="4"/>
  <c r="AL13" i="4"/>
  <c r="AB32" i="7"/>
  <c r="AL45" i="6"/>
  <c r="AK45" i="5"/>
  <c r="AB26" i="6"/>
  <c r="AF26" i="6" s="1"/>
  <c r="W7" i="4"/>
  <c r="AB7" i="4" s="1"/>
  <c r="AF7" i="4" s="1"/>
  <c r="AL34" i="7"/>
  <c r="AB5" i="4"/>
  <c r="AF5" i="4" s="1"/>
  <c r="AK13" i="4"/>
  <c r="AK36" i="7"/>
  <c r="AL36" i="7"/>
  <c r="W23" i="4"/>
  <c r="Y23" i="4"/>
  <c r="AB5" i="6"/>
  <c r="AE5" i="6" s="1"/>
  <c r="AM34" i="5"/>
  <c r="AK34" i="7"/>
  <c r="W18" i="4"/>
  <c r="Y18" i="4"/>
  <c r="AK45" i="7"/>
  <c r="AN45" i="7" s="1"/>
  <c r="Y37" i="7"/>
  <c r="W37" i="7"/>
  <c r="AL52" i="6"/>
  <c r="W9" i="3"/>
  <c r="Y9" i="3"/>
  <c r="W39" i="7"/>
  <c r="Y39" i="7"/>
  <c r="AB10" i="9"/>
  <c r="AF10" i="9" s="1"/>
  <c r="AM12" i="4"/>
  <c r="AM45" i="5"/>
  <c r="AL11" i="4"/>
  <c r="AM39" i="5"/>
  <c r="AB39" i="6"/>
  <c r="AK32" i="7"/>
  <c r="AN32" i="7" s="1"/>
  <c r="M23" i="3"/>
  <c r="E51" i="3" s="1"/>
  <c r="E50" i="3" s="1"/>
  <c r="T25" i="3"/>
  <c r="T21" i="3"/>
  <c r="T22" i="3"/>
  <c r="AC26" i="3"/>
  <c r="T23" i="3"/>
  <c r="AC19" i="3"/>
  <c r="AC22" i="3"/>
  <c r="AD23" i="3"/>
  <c r="T26" i="3"/>
  <c r="T24" i="3"/>
  <c r="T20" i="3"/>
  <c r="T19" i="3"/>
  <c r="AD17" i="3"/>
  <c r="AC23" i="3"/>
  <c r="AD19" i="3"/>
  <c r="T18" i="3"/>
  <c r="AC18" i="3"/>
  <c r="AC24" i="3"/>
  <c r="T17" i="3"/>
  <c r="AC25" i="3"/>
  <c r="AC17" i="3"/>
  <c r="AD21" i="3"/>
  <c r="AC21" i="3"/>
  <c r="AD25" i="3"/>
  <c r="AD20" i="3"/>
  <c r="AC20" i="3"/>
  <c r="AD26" i="3"/>
  <c r="AD22" i="3"/>
  <c r="AD24" i="3"/>
  <c r="AD18" i="3"/>
  <c r="U24" i="6"/>
  <c r="AB24" i="6"/>
  <c r="H47" i="5"/>
  <c r="M46" i="5" s="1"/>
  <c r="AD51" i="5" s="1"/>
  <c r="H48" i="5"/>
  <c r="M47" i="5" s="1"/>
  <c r="AK11" i="4"/>
  <c r="U11" i="6"/>
  <c r="AB11" i="6"/>
  <c r="D55" i="6"/>
  <c r="D50" i="6"/>
  <c r="AL39" i="5"/>
  <c r="AL5" i="7"/>
  <c r="AM5" i="7"/>
  <c r="AL4" i="7"/>
  <c r="AL13" i="7"/>
  <c r="AK5" i="7"/>
  <c r="AL11" i="7"/>
  <c r="AM9" i="7"/>
  <c r="AK9" i="7"/>
  <c r="AN9" i="7" s="1"/>
  <c r="AL10" i="7"/>
  <c r="AL9" i="7"/>
  <c r="AK8" i="7"/>
  <c r="AN8" i="7" s="1"/>
  <c r="AL12" i="7"/>
  <c r="AK11" i="7"/>
  <c r="AM8" i="7"/>
  <c r="AK10" i="7"/>
  <c r="AM10" i="7"/>
  <c r="AL7" i="7"/>
  <c r="AL8" i="7"/>
  <c r="AM12" i="7"/>
  <c r="AM11" i="7"/>
  <c r="AL6" i="7"/>
  <c r="AM13" i="7"/>
  <c r="AK13" i="7"/>
  <c r="AM6" i="7"/>
  <c r="AK6" i="7"/>
  <c r="AN6" i="7" s="1"/>
  <c r="AK12" i="7"/>
  <c r="M36" i="5"/>
  <c r="G50" i="5" s="1"/>
  <c r="G49" i="5" s="1"/>
  <c r="T37" i="5"/>
  <c r="U37" i="5" s="1"/>
  <c r="AD33" i="5"/>
  <c r="AD32" i="5"/>
  <c r="T30" i="5"/>
  <c r="U30" i="5" s="1"/>
  <c r="T34" i="5"/>
  <c r="U34" i="5" s="1"/>
  <c r="T32" i="5"/>
  <c r="U32" i="5" s="1"/>
  <c r="T31" i="5"/>
  <c r="U31" i="5" s="1"/>
  <c r="T35" i="5"/>
  <c r="U35" i="5" s="1"/>
  <c r="AC32" i="5"/>
  <c r="T38" i="5"/>
  <c r="U38" i="5" s="1"/>
  <c r="T36" i="5"/>
  <c r="U36" i="5" s="1"/>
  <c r="T39" i="5"/>
  <c r="U39" i="5" s="1"/>
  <c r="T33" i="5"/>
  <c r="U33" i="5" s="1"/>
  <c r="AC33" i="5"/>
  <c r="AD30" i="5"/>
  <c r="AD36" i="5"/>
  <c r="AC30" i="5"/>
  <c r="AC36" i="5"/>
  <c r="AB10" i="6"/>
  <c r="AC37" i="5"/>
  <c r="U33" i="4"/>
  <c r="AB33" i="4"/>
  <c r="U37" i="4"/>
  <c r="AB37" i="4"/>
  <c r="H115" i="3"/>
  <c r="D72" i="3" s="1"/>
  <c r="D73" i="3" s="1"/>
  <c r="D47" i="3" s="1"/>
  <c r="U7" i="6"/>
  <c r="AB7" i="6"/>
  <c r="U20" i="6"/>
  <c r="AB20" i="6"/>
  <c r="M10" i="7"/>
  <c r="D52" i="7" s="1"/>
  <c r="D51" i="7" s="1"/>
  <c r="T13" i="7"/>
  <c r="T4" i="7"/>
  <c r="T10" i="7"/>
  <c r="T7" i="7"/>
  <c r="T8" i="7"/>
  <c r="T9" i="7"/>
  <c r="AD7" i="7"/>
  <c r="T5" i="7"/>
  <c r="T12" i="7"/>
  <c r="T11" i="7"/>
  <c r="AC11" i="7"/>
  <c r="AD12" i="7"/>
  <c r="AC4" i="7"/>
  <c r="AD13" i="7"/>
  <c r="AD10" i="7"/>
  <c r="AD6" i="7"/>
  <c r="AC10" i="7"/>
  <c r="AC6" i="7"/>
  <c r="AD9" i="7"/>
  <c r="AD5" i="7"/>
  <c r="AC8" i="7"/>
  <c r="AD8" i="7"/>
  <c r="T6" i="7"/>
  <c r="AC12" i="7"/>
  <c r="AC7" i="7"/>
  <c r="AC9" i="7"/>
  <c r="AC5" i="7"/>
  <c r="AC13" i="7"/>
  <c r="AD11" i="7"/>
  <c r="AM9" i="4"/>
  <c r="AM32" i="5"/>
  <c r="AL33" i="5"/>
  <c r="AM36" i="5"/>
  <c r="AL32" i="5"/>
  <c r="AM43" i="5"/>
  <c r="AM52" i="5"/>
  <c r="AM30" i="5"/>
  <c r="AK30" i="5"/>
  <c r="AL30" i="5"/>
  <c r="AL43" i="5"/>
  <c r="AL44" i="5"/>
  <c r="AL36" i="5"/>
  <c r="AL52" i="5"/>
  <c r="AL46" i="5"/>
  <c r="AK43" i="5"/>
  <c r="AM46" i="5"/>
  <c r="AM44" i="5"/>
  <c r="AK36" i="5"/>
  <c r="AK46" i="5"/>
  <c r="AK33" i="5"/>
  <c r="AK44" i="5"/>
  <c r="AN44" i="5" s="1"/>
  <c r="AM33" i="5"/>
  <c r="AK32" i="5"/>
  <c r="K115" i="6"/>
  <c r="H72" i="6" s="1"/>
  <c r="H73" i="6" s="1"/>
  <c r="H47" i="6" s="1"/>
  <c r="J116" i="7"/>
  <c r="G73" i="7" s="1"/>
  <c r="G74" i="7" s="1"/>
  <c r="AL37" i="5"/>
  <c r="U35" i="4"/>
  <c r="AB35" i="4"/>
  <c r="AB22" i="6"/>
  <c r="U21" i="6"/>
  <c r="AB21" i="6"/>
  <c r="U4" i="6"/>
  <c r="AB4" i="6"/>
  <c r="Y11" i="4"/>
  <c r="D43" i="5"/>
  <c r="D47" i="5"/>
  <c r="M7" i="5" s="1"/>
  <c r="AC11" i="5" s="1"/>
  <c r="E42" i="5"/>
  <c r="E47" i="5" s="1"/>
  <c r="M20" i="5" s="1"/>
  <c r="AB4" i="4"/>
  <c r="U34" i="4"/>
  <c r="AB34" i="4"/>
  <c r="AK50" i="5"/>
  <c r="AK38" i="5"/>
  <c r="U17" i="6"/>
  <c r="AB17" i="6"/>
  <c r="AL31" i="5"/>
  <c r="Y10" i="4"/>
  <c r="W10" i="4"/>
  <c r="H116" i="7"/>
  <c r="D73" i="7" s="1"/>
  <c r="D74" i="7" s="1"/>
  <c r="U6" i="6"/>
  <c r="AB6" i="6"/>
  <c r="U8" i="6"/>
  <c r="AL35" i="5"/>
  <c r="AK37" i="5"/>
  <c r="U36" i="4"/>
  <c r="AB36" i="4"/>
  <c r="W8" i="4"/>
  <c r="Y8" i="4"/>
  <c r="AK10" i="4"/>
  <c r="U31" i="4"/>
  <c r="AB31" i="4"/>
  <c r="AC46" i="7"/>
  <c r="T46" i="7"/>
  <c r="AD46" i="7"/>
  <c r="T45" i="7"/>
  <c r="U45" i="7" s="1"/>
  <c r="AD47" i="7"/>
  <c r="T48" i="7"/>
  <c r="AD48" i="7"/>
  <c r="T47" i="7"/>
  <c r="AD45" i="7"/>
  <c r="AC48" i="7"/>
  <c r="M51" i="7"/>
  <c r="H52" i="7" s="1"/>
  <c r="H51" i="7" s="1"/>
  <c r="AC47" i="7"/>
  <c r="AM49" i="5"/>
  <c r="E55" i="6"/>
  <c r="E50" i="6"/>
  <c r="W11" i="4"/>
  <c r="AK4" i="7"/>
  <c r="G49" i="3"/>
  <c r="M35" i="3" s="1"/>
  <c r="G48" i="3"/>
  <c r="M34" i="3" s="1"/>
  <c r="AM37" i="5"/>
  <c r="AM13" i="4"/>
  <c r="Y9" i="2"/>
  <c r="W9" i="2"/>
  <c r="Y45" i="7"/>
  <c r="W45" i="7"/>
  <c r="U13" i="6"/>
  <c r="AB13" i="6"/>
  <c r="AK49" i="5"/>
  <c r="U19" i="6"/>
  <c r="AB19" i="6"/>
  <c r="AB25" i="6"/>
  <c r="H115" i="6"/>
  <c r="D72" i="6" s="1"/>
  <c r="D73" i="6" s="1"/>
  <c r="AK39" i="5"/>
  <c r="AM35" i="5"/>
  <c r="M36" i="8"/>
  <c r="G50" i="8" s="1"/>
  <c r="G49" i="8" s="1"/>
  <c r="T31" i="8"/>
  <c r="T39" i="8"/>
  <c r="AC37" i="8"/>
  <c r="T32" i="8"/>
  <c r="T37" i="8"/>
  <c r="AC35" i="8"/>
  <c r="T36" i="8"/>
  <c r="AD30" i="8"/>
  <c r="T33" i="8"/>
  <c r="T34" i="8"/>
  <c r="AC30" i="8"/>
  <c r="AC36" i="8"/>
  <c r="AD33" i="8"/>
  <c r="T35" i="8"/>
  <c r="AC39" i="8"/>
  <c r="AC31" i="8"/>
  <c r="AD34" i="8"/>
  <c r="T30" i="8"/>
  <c r="AD32" i="8"/>
  <c r="AC33" i="8"/>
  <c r="AC32" i="8"/>
  <c r="AD36" i="8"/>
  <c r="AD39" i="8"/>
  <c r="AD37" i="8"/>
  <c r="AC38" i="8"/>
  <c r="AD35" i="8"/>
  <c r="AC34" i="8"/>
  <c r="T38" i="8"/>
  <c r="AD38" i="8"/>
  <c r="AL9" i="4"/>
  <c r="E47" i="2"/>
  <c r="M20" i="2" s="1"/>
  <c r="AC22" i="2" s="1"/>
  <c r="E48" i="2"/>
  <c r="M21" i="2" s="1"/>
  <c r="AL18" i="6"/>
  <c r="AL25" i="6"/>
  <c r="AK19" i="6"/>
  <c r="AN19" i="6" s="1"/>
  <c r="AM17" i="6"/>
  <c r="AL19" i="6"/>
  <c r="AM23" i="6"/>
  <c r="AM19" i="6"/>
  <c r="AK21" i="6"/>
  <c r="AN21" i="6" s="1"/>
  <c r="AK17" i="6"/>
  <c r="AN17" i="6" s="1"/>
  <c r="AM26" i="6"/>
  <c r="AL24" i="6"/>
  <c r="AM18" i="6"/>
  <c r="AK23" i="6"/>
  <c r="AK24" i="6"/>
  <c r="AK25" i="6"/>
  <c r="AM25" i="6"/>
  <c r="AM24" i="6"/>
  <c r="AL21" i="6"/>
  <c r="AK18" i="6"/>
  <c r="AN18" i="6" s="1"/>
  <c r="AL23" i="6"/>
  <c r="AM22" i="6"/>
  <c r="AK22" i="6"/>
  <c r="AL17" i="6"/>
  <c r="AL20" i="6"/>
  <c r="AK20" i="6"/>
  <c r="AN20" i="6" s="1"/>
  <c r="AM21" i="6"/>
  <c r="AL22" i="6"/>
  <c r="AM20" i="6"/>
  <c r="AL26" i="6"/>
  <c r="AK26" i="6"/>
  <c r="U30" i="4"/>
  <c r="AB30" i="4"/>
  <c r="AL49" i="5"/>
  <c r="W11" i="2"/>
  <c r="Y11" i="2"/>
  <c r="AL38" i="5"/>
  <c r="AK17" i="3"/>
  <c r="AN17" i="3" s="1"/>
  <c r="AK24" i="3"/>
  <c r="AM20" i="3"/>
  <c r="AM17" i="3"/>
  <c r="AM21" i="3"/>
  <c r="AL20" i="3"/>
  <c r="AK18" i="3"/>
  <c r="AN18" i="3" s="1"/>
  <c r="AM18" i="3"/>
  <c r="AM19" i="3"/>
  <c r="AL18" i="3"/>
  <c r="AM22" i="3"/>
  <c r="AL19" i="3"/>
  <c r="AM25" i="3"/>
  <c r="AM24" i="3"/>
  <c r="AK25" i="3"/>
  <c r="AL25" i="3"/>
  <c r="AL24" i="3"/>
  <c r="AL22" i="3"/>
  <c r="AK21" i="3"/>
  <c r="AN21" i="3" s="1"/>
  <c r="AL21" i="3"/>
  <c r="AL26" i="3"/>
  <c r="AL23" i="3"/>
  <c r="AK22" i="3"/>
  <c r="AN22" i="3" s="1"/>
  <c r="AL17" i="3"/>
  <c r="AM23" i="3"/>
  <c r="AK20" i="3"/>
  <c r="AN20" i="3" s="1"/>
  <c r="AK19" i="3"/>
  <c r="AN19" i="3" s="1"/>
  <c r="AM26" i="3"/>
  <c r="AK26" i="3"/>
  <c r="AK23" i="3"/>
  <c r="U12" i="6"/>
  <c r="AB12" i="6"/>
  <c r="U9" i="6"/>
  <c r="AB9" i="6"/>
  <c r="AF9" i="6" s="1"/>
  <c r="AL36" i="8"/>
  <c r="AK36" i="8"/>
  <c r="AK37" i="8"/>
  <c r="AK35" i="8"/>
  <c r="AL34" i="8"/>
  <c r="AM30" i="8"/>
  <c r="AM36" i="8"/>
  <c r="AL35" i="8"/>
  <c r="AL38" i="8"/>
  <c r="AK34" i="8"/>
  <c r="AK32" i="8"/>
  <c r="AM38" i="8"/>
  <c r="AK38" i="8"/>
  <c r="AK30" i="8"/>
  <c r="AN30" i="8" s="1"/>
  <c r="AL30" i="8"/>
  <c r="AM32" i="8"/>
  <c r="AK31" i="8"/>
  <c r="AN31" i="8" s="1"/>
  <c r="AL31" i="8"/>
  <c r="AL32" i="8"/>
  <c r="AL37" i="8"/>
  <c r="AM34" i="8"/>
  <c r="AL33" i="8"/>
  <c r="AM35" i="8"/>
  <c r="AK33" i="8"/>
  <c r="AM33" i="8"/>
  <c r="AM37" i="8"/>
  <c r="AL39" i="8"/>
  <c r="AK39" i="8"/>
  <c r="AM39" i="8"/>
  <c r="AK12" i="4"/>
  <c r="AL5" i="6"/>
  <c r="AK9" i="6"/>
  <c r="AM10" i="6"/>
  <c r="AK8" i="6"/>
  <c r="AN8" i="6" s="1"/>
  <c r="AL11" i="6"/>
  <c r="AK6" i="6"/>
  <c r="AN6" i="6" s="1"/>
  <c r="AM8" i="6"/>
  <c r="AM13" i="6"/>
  <c r="AL9" i="6"/>
  <c r="AM4" i="6"/>
  <c r="AK13" i="6"/>
  <c r="AL8" i="6"/>
  <c r="AM7" i="6"/>
  <c r="AM12" i="6"/>
  <c r="AK10" i="6"/>
  <c r="AK4" i="6"/>
  <c r="AN4" i="6" s="1"/>
  <c r="AL7" i="6"/>
  <c r="AM9" i="6"/>
  <c r="AM6" i="6"/>
  <c r="AL13" i="6"/>
  <c r="AK7" i="6"/>
  <c r="AN7" i="6" s="1"/>
  <c r="AL12" i="6"/>
  <c r="AK12" i="6"/>
  <c r="AK11" i="6"/>
  <c r="AL6" i="6"/>
  <c r="AK5" i="6"/>
  <c r="AN5" i="6" s="1"/>
  <c r="AL4" i="6"/>
  <c r="AM5" i="6"/>
  <c r="AM11" i="6"/>
  <c r="AK8" i="4"/>
  <c r="U32" i="4"/>
  <c r="AB32" i="4"/>
  <c r="AM48" i="5"/>
  <c r="W46" i="5"/>
  <c r="Y46" i="5"/>
  <c r="Y9" i="5"/>
  <c r="W9" i="5"/>
  <c r="AM47" i="5"/>
  <c r="Y6" i="5"/>
  <c r="W5" i="5"/>
  <c r="AK51" i="5"/>
  <c r="Y5" i="5"/>
  <c r="AL47" i="5"/>
  <c r="W7" i="5"/>
  <c r="Y7" i="5"/>
  <c r="AL51" i="5"/>
  <c r="W43" i="5"/>
  <c r="AK48" i="5"/>
  <c r="AM51" i="5"/>
  <c r="AK47" i="5"/>
  <c r="Y43" i="5"/>
  <c r="Y49" i="5"/>
  <c r="AR10" i="9" l="1"/>
  <c r="AT10" i="9" s="1"/>
  <c r="AE9" i="9"/>
  <c r="U6" i="9"/>
  <c r="U8" i="9"/>
  <c r="AB7" i="9"/>
  <c r="AF7" i="9" s="1"/>
  <c r="U5" i="9"/>
  <c r="U4" i="9"/>
  <c r="AO22" i="8"/>
  <c r="AR9" i="9"/>
  <c r="AP9" i="8"/>
  <c r="AO21" i="8"/>
  <c r="AP18" i="8"/>
  <c r="AP8" i="8"/>
  <c r="AO21" i="7"/>
  <c r="AP20" i="7"/>
  <c r="AP18" i="6"/>
  <c r="AO5" i="6"/>
  <c r="AN45" i="6"/>
  <c r="AN32" i="6"/>
  <c r="AO32" i="6" s="1"/>
  <c r="AN49" i="5"/>
  <c r="AP7" i="4"/>
  <c r="AE8" i="9"/>
  <c r="AR8" i="9"/>
  <c r="AP19" i="4"/>
  <c r="AO20" i="4"/>
  <c r="AO21" i="4"/>
  <c r="AO17" i="4"/>
  <c r="AP5" i="4"/>
  <c r="AR5" i="9"/>
  <c r="AR6" i="9"/>
  <c r="AR4" i="9"/>
  <c r="AR7" i="9"/>
  <c r="AB6" i="9"/>
  <c r="AF6" i="9" s="1"/>
  <c r="AB5" i="9"/>
  <c r="AF5" i="9" s="1"/>
  <c r="U7" i="9"/>
  <c r="AB4" i="9"/>
  <c r="AF4" i="9" s="1"/>
  <c r="AN36" i="5"/>
  <c r="AN31" i="5"/>
  <c r="AN30" i="5"/>
  <c r="AN43" i="5"/>
  <c r="AN45" i="5"/>
  <c r="AL19" i="2"/>
  <c r="AK21" i="2"/>
  <c r="AN21" i="2" s="1"/>
  <c r="AL21" i="2"/>
  <c r="AC20" i="2"/>
  <c r="T22" i="2"/>
  <c r="T21" i="2"/>
  <c r="U21" i="2" s="1"/>
  <c r="AD22" i="2"/>
  <c r="AL22" i="2"/>
  <c r="AM21" i="2"/>
  <c r="AK22" i="2"/>
  <c r="AN22" i="2" s="1"/>
  <c r="AC21" i="2"/>
  <c r="AM22" i="2"/>
  <c r="AD21" i="2"/>
  <c r="AK18" i="2"/>
  <c r="AD17" i="2"/>
  <c r="AK20" i="2"/>
  <c r="AK17" i="2"/>
  <c r="T20" i="2"/>
  <c r="U20" i="2" s="1"/>
  <c r="T19" i="2"/>
  <c r="U19" i="2" s="1"/>
  <c r="T17" i="2"/>
  <c r="T18" i="2"/>
  <c r="U18" i="2" s="1"/>
  <c r="AL18" i="2"/>
  <c r="AK19" i="2"/>
  <c r="AC17" i="2"/>
  <c r="AD20" i="2"/>
  <c r="AM19" i="2"/>
  <c r="AC18" i="2"/>
  <c r="AM17" i="2"/>
  <c r="AM18" i="2"/>
  <c r="AL17" i="2"/>
  <c r="AD19" i="2"/>
  <c r="AC19" i="2"/>
  <c r="AL20" i="2"/>
  <c r="AM20" i="2"/>
  <c r="AD18" i="2"/>
  <c r="AN17" i="7"/>
  <c r="AO17" i="7" s="1"/>
  <c r="AN6" i="8"/>
  <c r="AO6" i="8" s="1"/>
  <c r="AN4" i="8"/>
  <c r="AP4" i="8" s="1"/>
  <c r="AN5" i="8"/>
  <c r="AN7" i="8"/>
  <c r="AO7" i="8" s="1"/>
  <c r="AN17" i="8"/>
  <c r="AP17" i="8" s="1"/>
  <c r="AN35" i="8"/>
  <c r="AN33" i="8"/>
  <c r="AN4" i="7"/>
  <c r="AN32" i="8"/>
  <c r="AN34" i="8"/>
  <c r="AN36" i="7"/>
  <c r="AP36" i="7" s="1"/>
  <c r="AN46" i="7"/>
  <c r="AN47" i="7"/>
  <c r="AN34" i="7"/>
  <c r="AN35" i="7"/>
  <c r="AN33" i="7"/>
  <c r="AO33" i="7" s="1"/>
  <c r="AN5" i="7"/>
  <c r="AN48" i="6"/>
  <c r="AN47" i="6"/>
  <c r="AN35" i="6"/>
  <c r="AP35" i="6" s="1"/>
  <c r="AN36" i="6"/>
  <c r="AN33" i="6"/>
  <c r="AO33" i="6" s="1"/>
  <c r="AN48" i="5"/>
  <c r="AN46" i="5"/>
  <c r="AN47" i="5"/>
  <c r="AN32" i="5"/>
  <c r="AN33" i="5"/>
  <c r="AN34" i="5"/>
  <c r="AN35" i="5"/>
  <c r="AN8" i="4"/>
  <c r="AN33" i="4"/>
  <c r="AN32" i="4"/>
  <c r="AN31" i="4"/>
  <c r="AN30" i="4"/>
  <c r="AE23" i="2"/>
  <c r="H50" i="7"/>
  <c r="M49" i="7" s="1"/>
  <c r="AD12" i="5"/>
  <c r="AF24" i="8"/>
  <c r="AE9" i="8"/>
  <c r="AO9" i="8" s="1"/>
  <c r="AE23" i="6"/>
  <c r="AE11" i="9"/>
  <c r="AE18" i="8"/>
  <c r="AO18" i="8" s="1"/>
  <c r="AF21" i="7"/>
  <c r="AP21" i="7" s="1"/>
  <c r="AF22" i="8"/>
  <c r="AP22" i="8" s="1"/>
  <c r="AC49" i="5"/>
  <c r="AD48" i="5"/>
  <c r="AC45" i="5"/>
  <c r="AE13" i="8"/>
  <c r="AF31" i="6"/>
  <c r="AP31" i="6" s="1"/>
  <c r="AF37" i="6"/>
  <c r="AL13" i="2"/>
  <c r="AM13" i="2"/>
  <c r="AK12" i="2"/>
  <c r="AL5" i="2"/>
  <c r="AK8" i="2"/>
  <c r="AM12" i="2"/>
  <c r="AK5" i="2"/>
  <c r="AD13" i="2"/>
  <c r="AE26" i="8"/>
  <c r="AE26" i="7"/>
  <c r="AC5" i="5"/>
  <c r="AC51" i="5"/>
  <c r="AD7" i="5"/>
  <c r="AD50" i="5"/>
  <c r="AM4" i="2"/>
  <c r="AK11" i="2"/>
  <c r="AL6" i="2"/>
  <c r="AD45" i="5"/>
  <c r="AC48" i="5"/>
  <c r="AC10" i="5"/>
  <c r="AM5" i="2"/>
  <c r="AD47" i="5"/>
  <c r="AK13" i="2"/>
  <c r="AL11" i="2"/>
  <c r="AM8" i="2"/>
  <c r="AK10" i="2"/>
  <c r="AN10" i="2" s="1"/>
  <c r="AE18" i="6"/>
  <c r="AO18" i="6" s="1"/>
  <c r="AM10" i="2"/>
  <c r="AC8" i="5"/>
  <c r="AL12" i="2"/>
  <c r="AK4" i="2"/>
  <c r="AE38" i="6"/>
  <c r="AC13" i="2"/>
  <c r="AC6" i="5"/>
  <c r="AC7" i="5"/>
  <c r="AL4" i="2"/>
  <c r="AL8" i="2"/>
  <c r="AM6" i="2"/>
  <c r="AK6" i="2"/>
  <c r="AF7" i="8"/>
  <c r="AE26" i="6"/>
  <c r="AE4" i="8"/>
  <c r="AE12" i="4"/>
  <c r="AF40" i="6"/>
  <c r="AF17" i="7"/>
  <c r="AF12" i="8"/>
  <c r="AE26" i="4"/>
  <c r="AE25" i="4"/>
  <c r="AF9" i="9"/>
  <c r="AT9" i="9" s="1"/>
  <c r="AF17" i="4"/>
  <c r="AP17" i="4" s="1"/>
  <c r="AE19" i="4"/>
  <c r="AO19" i="4" s="1"/>
  <c r="AF25" i="8"/>
  <c r="AF6" i="4"/>
  <c r="AP6" i="4" s="1"/>
  <c r="AE6" i="4"/>
  <c r="AO6" i="4" s="1"/>
  <c r="AE17" i="8"/>
  <c r="AF21" i="8"/>
  <c r="AP21" i="8" s="1"/>
  <c r="AB18" i="4"/>
  <c r="AF18" i="4" s="1"/>
  <c r="AP18" i="4" s="1"/>
  <c r="AF21" i="4"/>
  <c r="AP21" i="4" s="1"/>
  <c r="AE20" i="7"/>
  <c r="AO20" i="7" s="1"/>
  <c r="AE19" i="7"/>
  <c r="AO19" i="7" s="1"/>
  <c r="AF19" i="7"/>
  <c r="AP19" i="7" s="1"/>
  <c r="AF6" i="8"/>
  <c r="AF32" i="6"/>
  <c r="AE24" i="7"/>
  <c r="AE18" i="7"/>
  <c r="AO18" i="7" s="1"/>
  <c r="AF18" i="7"/>
  <c r="AP18" i="7" s="1"/>
  <c r="AE36" i="7"/>
  <c r="AE34" i="6"/>
  <c r="AO34" i="6" s="1"/>
  <c r="AE19" i="8"/>
  <c r="AO19" i="8" s="1"/>
  <c r="AB37" i="5"/>
  <c r="AF37" i="5" s="1"/>
  <c r="AL7" i="2"/>
  <c r="AD4" i="5"/>
  <c r="AC4" i="2"/>
  <c r="AC50" i="5"/>
  <c r="AC11" i="2"/>
  <c r="AD10" i="2"/>
  <c r="AL10" i="2"/>
  <c r="AC6" i="2"/>
  <c r="AB37" i="7"/>
  <c r="AE37" i="7" s="1"/>
  <c r="AD6" i="2"/>
  <c r="AC5" i="2"/>
  <c r="AD12" i="2"/>
  <c r="AE25" i="7"/>
  <c r="AF25" i="7"/>
  <c r="AD8" i="2"/>
  <c r="AK7" i="2"/>
  <c r="AM7" i="2"/>
  <c r="AM9" i="2"/>
  <c r="AM11" i="2"/>
  <c r="AK9" i="2"/>
  <c r="AN9" i="2" s="1"/>
  <c r="AL9" i="2"/>
  <c r="AE22" i="7"/>
  <c r="AO22" i="7" s="1"/>
  <c r="AF22" i="7"/>
  <c r="AP22" i="7" s="1"/>
  <c r="AC7" i="2"/>
  <c r="AD5" i="2"/>
  <c r="T12" i="2"/>
  <c r="AD9" i="2"/>
  <c r="AD11" i="2"/>
  <c r="T4" i="2"/>
  <c r="T7" i="2"/>
  <c r="AC10" i="2"/>
  <c r="AD7" i="2"/>
  <c r="T10" i="2"/>
  <c r="T6" i="2"/>
  <c r="T13" i="2"/>
  <c r="T11" i="2"/>
  <c r="U11" i="2" s="1"/>
  <c r="M10" i="2"/>
  <c r="D50" i="2" s="1"/>
  <c r="D49" i="2" s="1"/>
  <c r="T5" i="2"/>
  <c r="T9" i="2"/>
  <c r="U9" i="2" s="1"/>
  <c r="AC9" i="2"/>
  <c r="T8" i="2"/>
  <c r="AC8" i="2"/>
  <c r="AC12" i="2"/>
  <c r="AE7" i="9"/>
  <c r="AE23" i="8"/>
  <c r="AF33" i="6"/>
  <c r="AB8" i="6"/>
  <c r="AE8" i="6" s="1"/>
  <c r="AO8" i="6" s="1"/>
  <c r="AB39" i="5"/>
  <c r="AF39" i="5" s="1"/>
  <c r="AF8" i="9"/>
  <c r="AF33" i="7"/>
  <c r="AE10" i="9"/>
  <c r="AS10" i="9" s="1"/>
  <c r="AF24" i="4"/>
  <c r="AB33" i="5"/>
  <c r="AF33" i="5" s="1"/>
  <c r="AE5" i="4"/>
  <c r="AO5" i="4" s="1"/>
  <c r="AF20" i="4"/>
  <c r="AP20" i="4" s="1"/>
  <c r="AB34" i="5"/>
  <c r="AE34" i="5" s="1"/>
  <c r="AB32" i="5"/>
  <c r="AF32" i="5" s="1"/>
  <c r="AE13" i="4"/>
  <c r="AE35" i="6"/>
  <c r="AE8" i="8"/>
  <c r="AO8" i="8" s="1"/>
  <c r="AF23" i="7"/>
  <c r="AF38" i="7"/>
  <c r="AE38" i="7"/>
  <c r="AE11" i="8"/>
  <c r="AF11" i="8"/>
  <c r="AE36" i="6"/>
  <c r="AF36" i="6"/>
  <c r="AE7" i="4"/>
  <c r="AO7" i="4" s="1"/>
  <c r="AB38" i="5"/>
  <c r="AF38" i="5" s="1"/>
  <c r="AF20" i="8"/>
  <c r="AP20" i="8" s="1"/>
  <c r="AE9" i="4"/>
  <c r="AE5" i="8"/>
  <c r="AF5" i="8"/>
  <c r="AB10" i="4"/>
  <c r="AE10" i="4" s="1"/>
  <c r="AB39" i="7"/>
  <c r="AB34" i="7"/>
  <c r="AB23" i="4"/>
  <c r="AE22" i="4"/>
  <c r="AF22" i="4"/>
  <c r="AB30" i="5"/>
  <c r="AE30" i="5" s="1"/>
  <c r="AF32" i="7"/>
  <c r="AE32" i="7"/>
  <c r="AB11" i="4"/>
  <c r="AF11" i="4" s="1"/>
  <c r="AF5" i="6"/>
  <c r="AP5" i="6" s="1"/>
  <c r="AF39" i="6"/>
  <c r="AE39" i="6"/>
  <c r="AB31" i="5"/>
  <c r="AE31" i="5" s="1"/>
  <c r="AB35" i="5"/>
  <c r="AF35" i="5" s="1"/>
  <c r="AB45" i="7"/>
  <c r="AE45" i="7" s="1"/>
  <c r="U34" i="8"/>
  <c r="AB34" i="8"/>
  <c r="AF30" i="4"/>
  <c r="AE30" i="4"/>
  <c r="U33" i="8"/>
  <c r="AB33" i="8"/>
  <c r="U31" i="8"/>
  <c r="AB31" i="8"/>
  <c r="AE17" i="6"/>
  <c r="AF17" i="6"/>
  <c r="AC26" i="5"/>
  <c r="T22" i="5"/>
  <c r="T25" i="5"/>
  <c r="AC17" i="5"/>
  <c r="T20" i="5"/>
  <c r="T18" i="5"/>
  <c r="AD23" i="5"/>
  <c r="T19" i="5"/>
  <c r="AD26" i="5"/>
  <c r="T17" i="5"/>
  <c r="AC22" i="5"/>
  <c r="T26" i="5"/>
  <c r="M23" i="5"/>
  <c r="E50" i="5" s="1"/>
  <c r="E49" i="5" s="1"/>
  <c r="AC19" i="5"/>
  <c r="AC25" i="5"/>
  <c r="T21" i="5"/>
  <c r="AD24" i="5"/>
  <c r="T24" i="5"/>
  <c r="T23" i="5"/>
  <c r="AC21" i="5"/>
  <c r="AD22" i="5"/>
  <c r="AC23" i="5"/>
  <c r="AC18" i="5"/>
  <c r="AD17" i="5"/>
  <c r="AD21" i="5"/>
  <c r="AD25" i="5"/>
  <c r="AD19" i="5"/>
  <c r="AD18" i="5"/>
  <c r="AC24" i="5"/>
  <c r="AD20" i="5"/>
  <c r="AC20" i="5"/>
  <c r="AE4" i="6"/>
  <c r="AF4" i="6"/>
  <c r="U12" i="7"/>
  <c r="AB12" i="7"/>
  <c r="U13" i="7"/>
  <c r="AB13" i="7"/>
  <c r="AE13" i="7" s="1"/>
  <c r="AE24" i="6"/>
  <c r="AF24" i="6"/>
  <c r="U17" i="3"/>
  <c r="AB17" i="3"/>
  <c r="U20" i="3"/>
  <c r="AB20" i="3"/>
  <c r="U22" i="3"/>
  <c r="AB22" i="3"/>
  <c r="M23" i="2"/>
  <c r="E50" i="2" s="1"/>
  <c r="E49" i="2" s="1"/>
  <c r="AE19" i="6"/>
  <c r="AO19" i="6" s="1"/>
  <c r="AF19" i="6"/>
  <c r="AP19" i="6" s="1"/>
  <c r="U47" i="7"/>
  <c r="AB47" i="7"/>
  <c r="T4" i="5"/>
  <c r="T11" i="5"/>
  <c r="T8" i="5"/>
  <c r="M10" i="5"/>
  <c r="D50" i="5" s="1"/>
  <c r="D49" i="5" s="1"/>
  <c r="AC13" i="5"/>
  <c r="T13" i="5"/>
  <c r="AD6" i="5"/>
  <c r="AD9" i="5"/>
  <c r="T10" i="5"/>
  <c r="T6" i="5"/>
  <c r="AD10" i="5"/>
  <c r="T9" i="5"/>
  <c r="U9" i="5" s="1"/>
  <c r="AD8" i="5"/>
  <c r="T7" i="5"/>
  <c r="U7" i="5" s="1"/>
  <c r="T12" i="5"/>
  <c r="AC9" i="5"/>
  <c r="T5" i="5"/>
  <c r="U5" i="5" s="1"/>
  <c r="U5" i="7"/>
  <c r="AB5" i="7"/>
  <c r="AD5" i="5"/>
  <c r="AF37" i="4"/>
  <c r="AE37" i="4"/>
  <c r="AD13" i="5"/>
  <c r="U24" i="3"/>
  <c r="AB24" i="3"/>
  <c r="U21" i="3"/>
  <c r="AB21" i="3"/>
  <c r="AF25" i="6"/>
  <c r="AE25" i="6"/>
  <c r="U46" i="7"/>
  <c r="AB46" i="7"/>
  <c r="AF4" i="4"/>
  <c r="AP4" i="4" s="1"/>
  <c r="AE4" i="4"/>
  <c r="AO4" i="4" s="1"/>
  <c r="U4" i="7"/>
  <c r="AB4" i="7"/>
  <c r="AE10" i="8"/>
  <c r="AF10" i="8"/>
  <c r="U36" i="8"/>
  <c r="AB36" i="8"/>
  <c r="E43" i="5"/>
  <c r="E48" i="5" s="1"/>
  <c r="M21" i="5" s="1"/>
  <c r="D48" i="5"/>
  <c r="M8" i="5" s="1"/>
  <c r="H49" i="6"/>
  <c r="M48" i="6" s="1"/>
  <c r="H48" i="6"/>
  <c r="M47" i="6" s="1"/>
  <c r="U6" i="7"/>
  <c r="AB6" i="7"/>
  <c r="AF11" i="6"/>
  <c r="AE11" i="6"/>
  <c r="AC12" i="5"/>
  <c r="U26" i="3"/>
  <c r="AB26" i="3"/>
  <c r="U25" i="3"/>
  <c r="AB25" i="3"/>
  <c r="AF6" i="6"/>
  <c r="AP6" i="6" s="1"/>
  <c r="AE6" i="6"/>
  <c r="AO6" i="6" s="1"/>
  <c r="D48" i="3"/>
  <c r="M7" i="3" s="1"/>
  <c r="D49" i="3"/>
  <c r="M8" i="3" s="1"/>
  <c r="AF32" i="4"/>
  <c r="AE32" i="4"/>
  <c r="U35" i="8"/>
  <c r="AB35" i="8"/>
  <c r="AF13" i="6"/>
  <c r="AE13" i="6"/>
  <c r="T33" i="3"/>
  <c r="M37" i="3"/>
  <c r="G51" i="3" s="1"/>
  <c r="G50" i="3" s="1"/>
  <c r="T37" i="3"/>
  <c r="T31" i="3"/>
  <c r="AD35" i="3"/>
  <c r="T38" i="3"/>
  <c r="T32" i="3"/>
  <c r="AC36" i="3"/>
  <c r="T35" i="3"/>
  <c r="T36" i="3"/>
  <c r="AD32" i="3"/>
  <c r="AC35" i="3"/>
  <c r="AD36" i="3"/>
  <c r="AC32" i="3"/>
  <c r="AD33" i="3"/>
  <c r="T34" i="3"/>
  <c r="AD31" i="3"/>
  <c r="AD34" i="3"/>
  <c r="AC34" i="3"/>
  <c r="AC38" i="3"/>
  <c r="AC31" i="3"/>
  <c r="AC33" i="3"/>
  <c r="AD38" i="3"/>
  <c r="AC37" i="3"/>
  <c r="AD37" i="3"/>
  <c r="U48" i="7"/>
  <c r="AB48" i="7"/>
  <c r="AF34" i="4"/>
  <c r="AP34" i="4" s="1"/>
  <c r="AE34" i="4"/>
  <c r="AO34" i="4" s="1"/>
  <c r="AF22" i="6"/>
  <c r="AE22" i="6"/>
  <c r="U9" i="7"/>
  <c r="AB9" i="7"/>
  <c r="AF33" i="4"/>
  <c r="AE33" i="4"/>
  <c r="AD11" i="5"/>
  <c r="U18" i="3"/>
  <c r="AB18" i="3"/>
  <c r="U30" i="8"/>
  <c r="AB30" i="8"/>
  <c r="U39" i="8"/>
  <c r="AB39" i="8"/>
  <c r="U19" i="3"/>
  <c r="AB19" i="3"/>
  <c r="U37" i="8"/>
  <c r="AB37" i="8"/>
  <c r="AF35" i="7"/>
  <c r="AE35" i="7"/>
  <c r="AK34" i="3"/>
  <c r="AL31" i="3"/>
  <c r="AK36" i="3"/>
  <c r="AL33" i="3"/>
  <c r="AL36" i="3"/>
  <c r="AL38" i="3"/>
  <c r="AK35" i="3"/>
  <c r="AL34" i="3"/>
  <c r="AM33" i="3"/>
  <c r="AK38" i="3"/>
  <c r="AM38" i="3"/>
  <c r="AM34" i="3"/>
  <c r="AK33" i="3"/>
  <c r="AN33" i="3" s="1"/>
  <c r="AM32" i="3"/>
  <c r="AK32" i="3"/>
  <c r="AN32" i="3" s="1"/>
  <c r="AM36" i="3"/>
  <c r="AL32" i="3"/>
  <c r="AM35" i="3"/>
  <c r="AL35" i="3"/>
  <c r="AM31" i="3"/>
  <c r="AK31" i="3"/>
  <c r="AN31" i="3" s="1"/>
  <c r="AK37" i="3"/>
  <c r="AL37" i="3"/>
  <c r="AM37" i="3"/>
  <c r="AF31" i="4"/>
  <c r="AE31" i="4"/>
  <c r="AB8" i="4"/>
  <c r="AE21" i="6"/>
  <c r="AO21" i="6" s="1"/>
  <c r="AF21" i="6"/>
  <c r="AP21" i="6" s="1"/>
  <c r="AF35" i="4"/>
  <c r="AE35" i="4"/>
  <c r="U8" i="7"/>
  <c r="AB8" i="7"/>
  <c r="AC4" i="5"/>
  <c r="U11" i="7"/>
  <c r="AB11" i="7"/>
  <c r="AF7" i="6"/>
  <c r="AP7" i="6" s="1"/>
  <c r="AE7" i="6"/>
  <c r="AO7" i="6" s="1"/>
  <c r="AF12" i="6"/>
  <c r="AE12" i="6"/>
  <c r="U38" i="8"/>
  <c r="AB38" i="8"/>
  <c r="U32" i="8"/>
  <c r="AB32" i="8"/>
  <c r="AE9" i="6"/>
  <c r="U7" i="7"/>
  <c r="AB7" i="7"/>
  <c r="AF20" i="6"/>
  <c r="AP20" i="6" s="1"/>
  <c r="AE20" i="6"/>
  <c r="AO20" i="6" s="1"/>
  <c r="AB36" i="5"/>
  <c r="AF36" i="5" s="1"/>
  <c r="AF36" i="4"/>
  <c r="AE36" i="4"/>
  <c r="U10" i="7"/>
  <c r="AB10" i="7"/>
  <c r="AF10" i="6"/>
  <c r="AE10" i="6"/>
  <c r="T50" i="5"/>
  <c r="AC44" i="5"/>
  <c r="AC52" i="5"/>
  <c r="T47" i="5"/>
  <c r="T45" i="5"/>
  <c r="AC46" i="5"/>
  <c r="AC43" i="5"/>
  <c r="M49" i="5"/>
  <c r="H50" i="5" s="1"/>
  <c r="H49" i="5" s="1"/>
  <c r="AD44" i="5"/>
  <c r="AD46" i="5"/>
  <c r="AD43" i="5"/>
  <c r="T44" i="5"/>
  <c r="AD52" i="5"/>
  <c r="T52" i="5"/>
  <c r="T43" i="5"/>
  <c r="U43" i="5" s="1"/>
  <c r="T46" i="5"/>
  <c r="U46" i="5" s="1"/>
  <c r="T48" i="5"/>
  <c r="T51" i="5"/>
  <c r="AD49" i="5"/>
  <c r="T49" i="5"/>
  <c r="U49" i="5" s="1"/>
  <c r="AC47" i="5"/>
  <c r="U23" i="3"/>
  <c r="AB23" i="3"/>
  <c r="AT7" i="9" l="1"/>
  <c r="AT4" i="9"/>
  <c r="AT8" i="9"/>
  <c r="AT5" i="9"/>
  <c r="AT6" i="9"/>
  <c r="AS8" i="9"/>
  <c r="AS9" i="9"/>
  <c r="AS7" i="9"/>
  <c r="AO32" i="4"/>
  <c r="AO33" i="4"/>
  <c r="AP32" i="5"/>
  <c r="AO35" i="6"/>
  <c r="AP6" i="8"/>
  <c r="AO4" i="8"/>
  <c r="AO36" i="6"/>
  <c r="AP7" i="8"/>
  <c r="AO17" i="8"/>
  <c r="AO15" i="8" s="1"/>
  <c r="AP36" i="6"/>
  <c r="AP15" i="8"/>
  <c r="AP5" i="8"/>
  <c r="AO5" i="8"/>
  <c r="AO36" i="7"/>
  <c r="AP33" i="7"/>
  <c r="AO45" i="7"/>
  <c r="AP35" i="7"/>
  <c r="AP32" i="7"/>
  <c r="AP30" i="7" s="1"/>
  <c r="AO35" i="7"/>
  <c r="AO32" i="7"/>
  <c r="AO30" i="7" s="1"/>
  <c r="AP17" i="7"/>
  <c r="AP15" i="7" s="1"/>
  <c r="AP32" i="6"/>
  <c r="AP29" i="6" s="1"/>
  <c r="AP33" i="6"/>
  <c r="AO15" i="7"/>
  <c r="AO29" i="6"/>
  <c r="AP17" i="6"/>
  <c r="AP15" i="6" s="1"/>
  <c r="AO17" i="6"/>
  <c r="AO15" i="6" s="1"/>
  <c r="AP4" i="6"/>
  <c r="AP2" i="6" s="1"/>
  <c r="AO4" i="6"/>
  <c r="AO2" i="6" s="1"/>
  <c r="AO30" i="5"/>
  <c r="AO34" i="5"/>
  <c r="AP35" i="5"/>
  <c r="AO31" i="5"/>
  <c r="AP33" i="5"/>
  <c r="AP36" i="5"/>
  <c r="AO30" i="4"/>
  <c r="AP30" i="4"/>
  <c r="AO31" i="4"/>
  <c r="AP31" i="4"/>
  <c r="AP32" i="4"/>
  <c r="AP33" i="4"/>
  <c r="AE6" i="9"/>
  <c r="AS6" i="9" s="1"/>
  <c r="AE4" i="9"/>
  <c r="AS4" i="9" s="1"/>
  <c r="AE5" i="9"/>
  <c r="AS5" i="9" s="1"/>
  <c r="AN20" i="2"/>
  <c r="AP15" i="4"/>
  <c r="AB19" i="2"/>
  <c r="AF19" i="2" s="1"/>
  <c r="AN18" i="2"/>
  <c r="AB20" i="2"/>
  <c r="U22" i="2"/>
  <c r="AB22" i="2"/>
  <c r="AB21" i="2"/>
  <c r="AN17" i="2"/>
  <c r="AN19" i="2"/>
  <c r="U17" i="2"/>
  <c r="AB17" i="2"/>
  <c r="AB18" i="2"/>
  <c r="AN35" i="3"/>
  <c r="AN34" i="3"/>
  <c r="AN6" i="2"/>
  <c r="AN4" i="2"/>
  <c r="AN5" i="2"/>
  <c r="AN7" i="2"/>
  <c r="AN8" i="2"/>
  <c r="AB9" i="2"/>
  <c r="AE9" i="2" s="1"/>
  <c r="AO9" i="2" s="1"/>
  <c r="AE39" i="5"/>
  <c r="AF34" i="5"/>
  <c r="AP34" i="5" s="1"/>
  <c r="AF31" i="5"/>
  <c r="AP31" i="5" s="1"/>
  <c r="AE37" i="5"/>
  <c r="AE18" i="4"/>
  <c r="AO18" i="4" s="1"/>
  <c r="AF8" i="6"/>
  <c r="AP8" i="6" s="1"/>
  <c r="AE33" i="5"/>
  <c r="AO33" i="5" s="1"/>
  <c r="AE36" i="5"/>
  <c r="AO36" i="5" s="1"/>
  <c r="AE38" i="5"/>
  <c r="AB11" i="2"/>
  <c r="AF30" i="5"/>
  <c r="AP30" i="5" s="1"/>
  <c r="AF37" i="7"/>
  <c r="AB7" i="5"/>
  <c r="AF7" i="5" s="1"/>
  <c r="AB13" i="2"/>
  <c r="U13" i="2"/>
  <c r="U6" i="2"/>
  <c r="AB6" i="2"/>
  <c r="U12" i="2"/>
  <c r="AB12" i="2"/>
  <c r="AB8" i="2"/>
  <c r="U8" i="2"/>
  <c r="U10" i="2"/>
  <c r="AB10" i="2"/>
  <c r="U5" i="2"/>
  <c r="AB5" i="2"/>
  <c r="U7" i="2"/>
  <c r="AB7" i="2"/>
  <c r="U4" i="2"/>
  <c r="AB4" i="2"/>
  <c r="AE32" i="5"/>
  <c r="AO32" i="5" s="1"/>
  <c r="AF13" i="7"/>
  <c r="AE35" i="5"/>
  <c r="AO35" i="5" s="1"/>
  <c r="AE11" i="4"/>
  <c r="AF10" i="4"/>
  <c r="AF45" i="7"/>
  <c r="AF23" i="4"/>
  <c r="AE23" i="4"/>
  <c r="AE34" i="7"/>
  <c r="AO34" i="7" s="1"/>
  <c r="AF34" i="7"/>
  <c r="AP34" i="7" s="1"/>
  <c r="AB5" i="5"/>
  <c r="AE39" i="7"/>
  <c r="AF39" i="7"/>
  <c r="U50" i="5"/>
  <c r="AB50" i="5"/>
  <c r="AF4" i="7"/>
  <c r="AP4" i="7" s="1"/>
  <c r="AE4" i="7"/>
  <c r="AO4" i="7" s="1"/>
  <c r="U22" i="5"/>
  <c r="AB22" i="5"/>
  <c r="AF9" i="7"/>
  <c r="AP9" i="7" s="1"/>
  <c r="AE9" i="7"/>
  <c r="AO9" i="7" s="1"/>
  <c r="AF48" i="7"/>
  <c r="AE48" i="7"/>
  <c r="U37" i="3"/>
  <c r="AB37" i="3"/>
  <c r="AE37" i="3" s="1"/>
  <c r="AE25" i="3"/>
  <c r="AF25" i="3"/>
  <c r="AF33" i="8"/>
  <c r="AP33" i="8" s="1"/>
  <c r="AE33" i="8"/>
  <c r="AO33" i="8" s="1"/>
  <c r="U48" i="5"/>
  <c r="AB48" i="5"/>
  <c r="AE37" i="8"/>
  <c r="AF37" i="8"/>
  <c r="AE23" i="3"/>
  <c r="AF23" i="3"/>
  <c r="AB43" i="5"/>
  <c r="AB46" i="5"/>
  <c r="U36" i="3"/>
  <c r="AB36" i="3"/>
  <c r="AF6" i="7"/>
  <c r="AP6" i="7" s="1"/>
  <c r="AE6" i="7"/>
  <c r="AO6" i="7" s="1"/>
  <c r="AF24" i="3"/>
  <c r="AE24" i="3"/>
  <c r="U8" i="5"/>
  <c r="AB8" i="5"/>
  <c r="AE22" i="3"/>
  <c r="AO22" i="3" s="1"/>
  <c r="AF22" i="3"/>
  <c r="AP22" i="3" s="1"/>
  <c r="U21" i="5"/>
  <c r="AB21" i="5"/>
  <c r="U19" i="5"/>
  <c r="AB19" i="5"/>
  <c r="U52" i="5"/>
  <c r="AB52" i="5"/>
  <c r="AE10" i="7"/>
  <c r="AF10" i="7"/>
  <c r="AE32" i="8"/>
  <c r="AO32" i="8" s="1"/>
  <c r="AF32" i="8"/>
  <c r="AP32" i="8" s="1"/>
  <c r="AB49" i="5"/>
  <c r="AE8" i="7"/>
  <c r="AO8" i="7" s="1"/>
  <c r="AF8" i="7"/>
  <c r="AP8" i="7" s="1"/>
  <c r="AE8" i="4"/>
  <c r="AO8" i="4" s="1"/>
  <c r="AF8" i="4"/>
  <c r="AP8" i="4" s="1"/>
  <c r="AF19" i="3"/>
  <c r="AP19" i="3" s="1"/>
  <c r="AE19" i="3"/>
  <c r="AO19" i="3" s="1"/>
  <c r="AF18" i="3"/>
  <c r="AP18" i="3" s="1"/>
  <c r="AE18" i="3"/>
  <c r="AO18" i="3" s="1"/>
  <c r="U35" i="3"/>
  <c r="AB35" i="3"/>
  <c r="U33" i="3"/>
  <c r="AB33" i="3"/>
  <c r="AF26" i="3"/>
  <c r="AE26" i="3"/>
  <c r="AF36" i="8"/>
  <c r="AE36" i="8"/>
  <c r="U6" i="5"/>
  <c r="AB6" i="5"/>
  <c r="U11" i="5"/>
  <c r="AB11" i="5"/>
  <c r="U45" i="5"/>
  <c r="AB45" i="5"/>
  <c r="U34" i="3"/>
  <c r="AB34" i="3"/>
  <c r="AM4" i="3"/>
  <c r="AM8" i="3"/>
  <c r="AM10" i="3"/>
  <c r="AK13" i="3"/>
  <c r="AL13" i="3"/>
  <c r="AL5" i="3"/>
  <c r="AM9" i="3"/>
  <c r="AL4" i="3"/>
  <c r="AM6" i="3"/>
  <c r="AK11" i="3"/>
  <c r="AL8" i="3"/>
  <c r="AL11" i="3"/>
  <c r="AL7" i="3"/>
  <c r="AL10" i="3"/>
  <c r="AL6" i="3"/>
  <c r="AK4" i="3"/>
  <c r="AL9" i="3"/>
  <c r="AK9" i="3"/>
  <c r="AN9" i="3" s="1"/>
  <c r="AK5" i="3"/>
  <c r="AN5" i="3" s="1"/>
  <c r="AK7" i="3"/>
  <c r="AN7" i="3" s="1"/>
  <c r="AM11" i="3"/>
  <c r="AM5" i="3"/>
  <c r="AM7" i="3"/>
  <c r="AL12" i="3"/>
  <c r="AK6" i="3"/>
  <c r="AN6" i="3" s="1"/>
  <c r="AK8" i="3"/>
  <c r="AN8" i="3" s="1"/>
  <c r="AK10" i="3"/>
  <c r="AM13" i="3"/>
  <c r="AK12" i="3"/>
  <c r="AM12" i="3"/>
  <c r="AD44" i="6"/>
  <c r="AC45" i="6"/>
  <c r="AC51" i="6"/>
  <c r="AD48" i="6"/>
  <c r="AD46" i="6"/>
  <c r="M50" i="6"/>
  <c r="H51" i="6" s="1"/>
  <c r="H50" i="6" s="1"/>
  <c r="T48" i="6"/>
  <c r="T45" i="6"/>
  <c r="AC48" i="6"/>
  <c r="T51" i="6"/>
  <c r="AC50" i="6"/>
  <c r="AD51" i="6"/>
  <c r="AC46" i="6"/>
  <c r="AC47" i="6"/>
  <c r="AD45" i="6"/>
  <c r="AC53" i="6"/>
  <c r="T47" i="6"/>
  <c r="T50" i="6"/>
  <c r="AD47" i="6"/>
  <c r="T46" i="6"/>
  <c r="T52" i="6"/>
  <c r="T49" i="6"/>
  <c r="AD50" i="6"/>
  <c r="T53" i="6"/>
  <c r="T44" i="6"/>
  <c r="AC44" i="6"/>
  <c r="AC49" i="6"/>
  <c r="AD52" i="6"/>
  <c r="AC52" i="6"/>
  <c r="AD49" i="6"/>
  <c r="AD53" i="6"/>
  <c r="AF46" i="7"/>
  <c r="AP46" i="7" s="1"/>
  <c r="AE46" i="7"/>
  <c r="AO46" i="7" s="1"/>
  <c r="U10" i="5"/>
  <c r="AB10" i="5"/>
  <c r="U4" i="5"/>
  <c r="AB4" i="5"/>
  <c r="AF4" i="5" s="1"/>
  <c r="AE20" i="3"/>
  <c r="AO20" i="3" s="1"/>
  <c r="AF20" i="3"/>
  <c r="AP20" i="3" s="1"/>
  <c r="AF12" i="7"/>
  <c r="AE12" i="7"/>
  <c r="U18" i="5"/>
  <c r="AB18" i="5"/>
  <c r="AE30" i="8"/>
  <c r="AO30" i="8" s="1"/>
  <c r="AF30" i="8"/>
  <c r="AP30" i="8" s="1"/>
  <c r="U31" i="3"/>
  <c r="AB31" i="3"/>
  <c r="AF5" i="7"/>
  <c r="AP5" i="7" s="1"/>
  <c r="AE5" i="7"/>
  <c r="AO5" i="7" s="1"/>
  <c r="U44" i="5"/>
  <c r="AB44" i="5"/>
  <c r="U47" i="5"/>
  <c r="AB47" i="5"/>
  <c r="AF7" i="7"/>
  <c r="AP7" i="7" s="1"/>
  <c r="AE7" i="7"/>
  <c r="AO7" i="7" s="1"/>
  <c r="AE38" i="8"/>
  <c r="AF38" i="8"/>
  <c r="U32" i="3"/>
  <c r="AB32" i="3"/>
  <c r="M10" i="3"/>
  <c r="D51" i="3" s="1"/>
  <c r="D50" i="3" s="1"/>
  <c r="T5" i="3"/>
  <c r="AD7" i="3"/>
  <c r="T8" i="3"/>
  <c r="T9" i="3"/>
  <c r="T4" i="3"/>
  <c r="T6" i="3"/>
  <c r="T7" i="3"/>
  <c r="T11" i="3"/>
  <c r="AD4" i="3"/>
  <c r="T13" i="3"/>
  <c r="AC6" i="3"/>
  <c r="AC4" i="3"/>
  <c r="AD13" i="3"/>
  <c r="AC7" i="3"/>
  <c r="AD11" i="3"/>
  <c r="AC12" i="3"/>
  <c r="AD9" i="3"/>
  <c r="AD8" i="3"/>
  <c r="AD12" i="3"/>
  <c r="AC10" i="3"/>
  <c r="AD10" i="3"/>
  <c r="AC13" i="3"/>
  <c r="T12" i="3"/>
  <c r="AC8" i="3"/>
  <c r="AD6" i="3"/>
  <c r="AC9" i="3"/>
  <c r="AC11" i="3"/>
  <c r="T10" i="3"/>
  <c r="AC5" i="3"/>
  <c r="AD5" i="3"/>
  <c r="U20" i="5"/>
  <c r="AB20" i="5"/>
  <c r="U17" i="5"/>
  <c r="AB17" i="5"/>
  <c r="AF11" i="7"/>
  <c r="AE11" i="7"/>
  <c r="AE39" i="8"/>
  <c r="AF39" i="8"/>
  <c r="U38" i="3"/>
  <c r="AB38" i="3"/>
  <c r="AL9" i="5"/>
  <c r="AK6" i="5"/>
  <c r="AL6" i="5"/>
  <c r="AL4" i="5"/>
  <c r="AM6" i="5"/>
  <c r="AL5" i="5"/>
  <c r="AK5" i="5"/>
  <c r="AM10" i="5"/>
  <c r="AM9" i="5"/>
  <c r="AK4" i="5"/>
  <c r="AL13" i="5"/>
  <c r="AL8" i="5"/>
  <c r="AM12" i="5"/>
  <c r="AM11" i="5"/>
  <c r="AM4" i="5"/>
  <c r="AM8" i="5"/>
  <c r="AM5" i="5"/>
  <c r="AL11" i="5"/>
  <c r="AK8" i="5"/>
  <c r="AL7" i="5"/>
  <c r="AM7" i="5"/>
  <c r="AK7" i="5"/>
  <c r="AL12" i="5"/>
  <c r="AK12" i="5"/>
  <c r="AM13" i="5"/>
  <c r="AK9" i="5"/>
  <c r="AN9" i="5" s="1"/>
  <c r="AK10" i="5"/>
  <c r="AK13" i="5"/>
  <c r="AL10" i="5"/>
  <c r="AK11" i="5"/>
  <c r="U12" i="5"/>
  <c r="AB12" i="5"/>
  <c r="AE17" i="3"/>
  <c r="AO17" i="3" s="1"/>
  <c r="AF17" i="3"/>
  <c r="AP17" i="3" s="1"/>
  <c r="U26" i="5"/>
  <c r="AB26" i="5"/>
  <c r="AF21" i="3"/>
  <c r="AP21" i="3" s="1"/>
  <c r="AE21" i="3"/>
  <c r="AO21" i="3" s="1"/>
  <c r="U24" i="5"/>
  <c r="AB24" i="5"/>
  <c r="AF24" i="5" s="1"/>
  <c r="U51" i="5"/>
  <c r="AB51" i="5"/>
  <c r="AE35" i="8"/>
  <c r="AO35" i="8" s="1"/>
  <c r="AF35" i="8"/>
  <c r="AP35" i="8" s="1"/>
  <c r="AM18" i="5"/>
  <c r="AM17" i="5"/>
  <c r="AK18" i="5"/>
  <c r="AN18" i="5" s="1"/>
  <c r="AL17" i="5"/>
  <c r="AL26" i="5"/>
  <c r="AL18" i="5"/>
  <c r="AK17" i="5"/>
  <c r="AN17" i="5" s="1"/>
  <c r="AM26" i="5"/>
  <c r="AK21" i="5"/>
  <c r="AN21" i="5" s="1"/>
  <c r="AL25" i="5"/>
  <c r="AK23" i="5"/>
  <c r="AM21" i="5"/>
  <c r="AL20" i="5"/>
  <c r="AL21" i="5"/>
  <c r="AL22" i="5"/>
  <c r="AM19" i="5"/>
  <c r="AL23" i="5"/>
  <c r="AK19" i="5"/>
  <c r="AN19" i="5" s="1"/>
  <c r="AK25" i="5"/>
  <c r="AK22" i="5"/>
  <c r="AM25" i="5"/>
  <c r="AK26" i="5"/>
  <c r="AM22" i="5"/>
  <c r="AM23" i="5"/>
  <c r="AL19" i="5"/>
  <c r="AK24" i="5"/>
  <c r="AL24" i="5"/>
  <c r="AK20" i="5"/>
  <c r="AN20" i="5" s="1"/>
  <c r="AM24" i="5"/>
  <c r="AM20" i="5"/>
  <c r="U13" i="5"/>
  <c r="AB13" i="5"/>
  <c r="AF47" i="7"/>
  <c r="AP47" i="7" s="1"/>
  <c r="AE47" i="7"/>
  <c r="AO47" i="7" s="1"/>
  <c r="U23" i="5"/>
  <c r="AB23" i="5"/>
  <c r="U25" i="5"/>
  <c r="AB25" i="5"/>
  <c r="AE31" i="8"/>
  <c r="AO31" i="8" s="1"/>
  <c r="AF31" i="8"/>
  <c r="AP31" i="8" s="1"/>
  <c r="AF34" i="8"/>
  <c r="AP34" i="8" s="1"/>
  <c r="AE34" i="8"/>
  <c r="AO34" i="8" s="1"/>
  <c r="AB9" i="5"/>
  <c r="AO2" i="8" l="1"/>
  <c r="AT3" i="8" s="1"/>
  <c r="AP2" i="8"/>
  <c r="AO28" i="8"/>
  <c r="AP28" i="8"/>
  <c r="AO43" i="7"/>
  <c r="AP45" i="7"/>
  <c r="AP43" i="7" s="1"/>
  <c r="AO2" i="7"/>
  <c r="AP2" i="7"/>
  <c r="U15" i="6"/>
  <c r="Q15" i="6"/>
  <c r="Q2" i="6"/>
  <c r="T15" i="6" s="1"/>
  <c r="U2" i="6"/>
  <c r="AO28" i="5"/>
  <c r="AP28" i="5"/>
  <c r="AP19" i="2"/>
  <c r="AO15" i="4"/>
  <c r="AR16" i="4" s="1"/>
  <c r="Q15" i="3"/>
  <c r="AP28" i="4"/>
  <c r="AO28" i="4"/>
  <c r="AS2" i="9"/>
  <c r="AE19" i="2"/>
  <c r="AO19" i="2" s="1"/>
  <c r="AR16" i="8"/>
  <c r="E36" i="8" s="1"/>
  <c r="AE20" i="2"/>
  <c r="AO20" i="2" s="1"/>
  <c r="AF20" i="2"/>
  <c r="AP20" i="2" s="1"/>
  <c r="AF21" i="2"/>
  <c r="AP21" i="2" s="1"/>
  <c r="AE21" i="2"/>
  <c r="AO21" i="2" s="1"/>
  <c r="AF22" i="2"/>
  <c r="AP22" i="2" s="1"/>
  <c r="AE22" i="2"/>
  <c r="AO22" i="2" s="1"/>
  <c r="AF18" i="2"/>
  <c r="AP18" i="2" s="1"/>
  <c r="AE18" i="2"/>
  <c r="AO18" i="2" s="1"/>
  <c r="AF17" i="2"/>
  <c r="AP17" i="2" s="1"/>
  <c r="AE17" i="2"/>
  <c r="AO17" i="2" s="1"/>
  <c r="AT16" i="6"/>
  <c r="AR16" i="6"/>
  <c r="E37" i="6" s="1"/>
  <c r="AR3" i="6"/>
  <c r="D37" i="6" s="1"/>
  <c r="AT3" i="6"/>
  <c r="AN8" i="5"/>
  <c r="AN5" i="5"/>
  <c r="AN7" i="5"/>
  <c r="AP7" i="5" s="1"/>
  <c r="AN6" i="5"/>
  <c r="AN4" i="5"/>
  <c r="AP4" i="5" s="1"/>
  <c r="AN4" i="3"/>
  <c r="U2" i="4"/>
  <c r="AP2" i="4"/>
  <c r="Q29" i="6"/>
  <c r="AO2" i="4"/>
  <c r="U29" i="6"/>
  <c r="Q2" i="4"/>
  <c r="U15" i="8"/>
  <c r="Q2" i="8"/>
  <c r="U30" i="7"/>
  <c r="Q30" i="7"/>
  <c r="Q15" i="8"/>
  <c r="U2" i="8"/>
  <c r="Q28" i="4"/>
  <c r="U2" i="9"/>
  <c r="Q2" i="9"/>
  <c r="U28" i="4"/>
  <c r="AF9" i="2"/>
  <c r="AP9" i="2" s="1"/>
  <c r="U15" i="4"/>
  <c r="Q15" i="4"/>
  <c r="Q15" i="7"/>
  <c r="U15" i="7"/>
  <c r="Q43" i="7"/>
  <c r="U43" i="7"/>
  <c r="AE7" i="5"/>
  <c r="AE11" i="2"/>
  <c r="AF11" i="2"/>
  <c r="AF4" i="2"/>
  <c r="AP4" i="2" s="1"/>
  <c r="AE4" i="2"/>
  <c r="AO4" i="2" s="1"/>
  <c r="AF8" i="2"/>
  <c r="AP8" i="2" s="1"/>
  <c r="AE8" i="2"/>
  <c r="AO8" i="2" s="1"/>
  <c r="AE7" i="2"/>
  <c r="AO7" i="2" s="1"/>
  <c r="AF7" i="2"/>
  <c r="AP7" i="2" s="1"/>
  <c r="AF12" i="2"/>
  <c r="AE12" i="2"/>
  <c r="AF5" i="2"/>
  <c r="AP5" i="2" s="1"/>
  <c r="AE5" i="2"/>
  <c r="AO5" i="2" s="1"/>
  <c r="AE6" i="2"/>
  <c r="AO6" i="2" s="1"/>
  <c r="AF6" i="2"/>
  <c r="AP6" i="2" s="1"/>
  <c r="AF10" i="2"/>
  <c r="AE10" i="2"/>
  <c r="AE13" i="2"/>
  <c r="AF13" i="2"/>
  <c r="AF37" i="3"/>
  <c r="AE5" i="5"/>
  <c r="AO5" i="5" s="1"/>
  <c r="AF5" i="5"/>
  <c r="U47" i="6"/>
  <c r="AB47" i="6"/>
  <c r="AF33" i="3"/>
  <c r="AP33" i="3" s="1"/>
  <c r="AE33" i="3"/>
  <c r="AO33" i="3" s="1"/>
  <c r="AE25" i="5"/>
  <c r="AF25" i="5"/>
  <c r="U5" i="3"/>
  <c r="AB5" i="3"/>
  <c r="AF47" i="5"/>
  <c r="AP47" i="5" s="1"/>
  <c r="AE47" i="5"/>
  <c r="AO47" i="5" s="1"/>
  <c r="AB48" i="6"/>
  <c r="U48" i="6"/>
  <c r="AF45" i="5"/>
  <c r="AP45" i="5" s="1"/>
  <c r="AE45" i="5"/>
  <c r="AO45" i="5" s="1"/>
  <c r="AF46" i="5"/>
  <c r="AP46" i="5" s="1"/>
  <c r="AE46" i="5"/>
  <c r="AO46" i="5" s="1"/>
  <c r="U2" i="7"/>
  <c r="Q2" i="7"/>
  <c r="T15" i="7" s="1"/>
  <c r="AF31" i="3"/>
  <c r="AP31" i="3" s="1"/>
  <c r="AE31" i="3"/>
  <c r="AO31" i="3" s="1"/>
  <c r="AF12" i="5"/>
  <c r="AE12" i="5"/>
  <c r="AE38" i="3"/>
  <c r="AF38" i="3"/>
  <c r="U11" i="3"/>
  <c r="AB11" i="3"/>
  <c r="U28" i="8"/>
  <c r="Q28" i="8"/>
  <c r="U49" i="6"/>
  <c r="AB49" i="6"/>
  <c r="AF6" i="5"/>
  <c r="AE6" i="5"/>
  <c r="AF35" i="3"/>
  <c r="AP35" i="3" s="1"/>
  <c r="AE35" i="3"/>
  <c r="AO35" i="3" s="1"/>
  <c r="AF52" i="5"/>
  <c r="AE52" i="5"/>
  <c r="AE21" i="5"/>
  <c r="AO21" i="5" s="1"/>
  <c r="AF21" i="5"/>
  <c r="AP21" i="5" s="1"/>
  <c r="AE43" i="5"/>
  <c r="AO43" i="5" s="1"/>
  <c r="AF43" i="5"/>
  <c r="AP43" i="5" s="1"/>
  <c r="AE4" i="5"/>
  <c r="U13" i="3"/>
  <c r="AB13" i="3"/>
  <c r="U45" i="6"/>
  <c r="AB45" i="6"/>
  <c r="AF19" i="5"/>
  <c r="AP19" i="5" s="1"/>
  <c r="AE19" i="5"/>
  <c r="AO19" i="5" s="1"/>
  <c r="AF23" i="5"/>
  <c r="AE23" i="5"/>
  <c r="AE13" i="5"/>
  <c r="AF13" i="5"/>
  <c r="AF26" i="5"/>
  <c r="AE26" i="5"/>
  <c r="U12" i="3"/>
  <c r="AB12" i="3"/>
  <c r="U7" i="3"/>
  <c r="AB7" i="3"/>
  <c r="AF32" i="3"/>
  <c r="AP32" i="3" s="1"/>
  <c r="AE32" i="3"/>
  <c r="AO32" i="3" s="1"/>
  <c r="AF44" i="5"/>
  <c r="AP44" i="5" s="1"/>
  <c r="AE44" i="5"/>
  <c r="AO44" i="5" s="1"/>
  <c r="AE18" i="5"/>
  <c r="AO18" i="5" s="1"/>
  <c r="AF18" i="5"/>
  <c r="AP18" i="5" s="1"/>
  <c r="AB52" i="6"/>
  <c r="U52" i="6"/>
  <c r="AE8" i="5"/>
  <c r="AF8" i="5"/>
  <c r="AE48" i="5"/>
  <c r="AO48" i="5" s="1"/>
  <c r="AF48" i="5"/>
  <c r="AP48" i="5" s="1"/>
  <c r="AF17" i="5"/>
  <c r="AP17" i="5" s="1"/>
  <c r="AE17" i="5"/>
  <c r="U53" i="6"/>
  <c r="AB53" i="6"/>
  <c r="AE11" i="5"/>
  <c r="AF11" i="5"/>
  <c r="AE9" i="5"/>
  <c r="AF9" i="5"/>
  <c r="U6" i="3"/>
  <c r="AB6" i="3"/>
  <c r="U46" i="6"/>
  <c r="AB46" i="6"/>
  <c r="AF50" i="5"/>
  <c r="AE50" i="5"/>
  <c r="AE24" i="5"/>
  <c r="U8" i="3"/>
  <c r="AB8" i="3"/>
  <c r="U44" i="6"/>
  <c r="AB44" i="6"/>
  <c r="AE51" i="5"/>
  <c r="AF51" i="5"/>
  <c r="AP15" i="3"/>
  <c r="AF20" i="5"/>
  <c r="AP20" i="5" s="1"/>
  <c r="AE20" i="5"/>
  <c r="AO20" i="5" s="1"/>
  <c r="U4" i="3"/>
  <c r="AB4" i="3"/>
  <c r="AF10" i="5"/>
  <c r="AE10" i="5"/>
  <c r="AR19" i="6"/>
  <c r="E53" i="6" s="1"/>
  <c r="AR18" i="6"/>
  <c r="E52" i="6" s="1"/>
  <c r="AE49" i="5"/>
  <c r="AO49" i="5" s="1"/>
  <c r="AF49" i="5"/>
  <c r="AP49" i="5" s="1"/>
  <c r="AF22" i="5"/>
  <c r="AE22" i="5"/>
  <c r="AF36" i="3"/>
  <c r="AE36" i="3"/>
  <c r="U10" i="3"/>
  <c r="AB10" i="3"/>
  <c r="U9" i="3"/>
  <c r="AB9" i="3"/>
  <c r="AE9" i="3" s="1"/>
  <c r="AO9" i="3" s="1"/>
  <c r="U50" i="6"/>
  <c r="AB50" i="6"/>
  <c r="U51" i="6"/>
  <c r="AB51" i="6"/>
  <c r="AF34" i="3"/>
  <c r="AP34" i="3" s="1"/>
  <c r="AE34" i="3"/>
  <c r="AO34" i="3" s="1"/>
  <c r="AR6" i="6"/>
  <c r="D53" i="6" s="1"/>
  <c r="AT6" i="6"/>
  <c r="AR5" i="6"/>
  <c r="D52" i="6" s="1"/>
  <c r="AT4" i="6"/>
  <c r="AP6" i="5" l="1"/>
  <c r="AO4" i="5"/>
  <c r="AO6" i="5"/>
  <c r="AP8" i="5"/>
  <c r="AO17" i="5"/>
  <c r="AO15" i="5" s="1"/>
  <c r="AP5" i="5"/>
  <c r="AO7" i="5"/>
  <c r="AO8" i="5"/>
  <c r="AP15" i="5"/>
  <c r="AO41" i="5"/>
  <c r="AP41" i="5"/>
  <c r="U28" i="5"/>
  <c r="Q28" i="5"/>
  <c r="AO15" i="3"/>
  <c r="AT16" i="3" s="1"/>
  <c r="U15" i="3"/>
  <c r="AR19" i="8"/>
  <c r="E52" i="8" s="1"/>
  <c r="AR18" i="8"/>
  <c r="E51" i="8" s="1"/>
  <c r="AT16" i="8"/>
  <c r="E39" i="8" s="1"/>
  <c r="AP15" i="2"/>
  <c r="AT6" i="8"/>
  <c r="AR6" i="8"/>
  <c r="D52" i="8" s="1"/>
  <c r="U15" i="2"/>
  <c r="AO15" i="2"/>
  <c r="Q15" i="2"/>
  <c r="T15" i="8"/>
  <c r="AR3" i="8"/>
  <c r="D36" i="8" s="1"/>
  <c r="AR5" i="8"/>
  <c r="D51" i="8" s="1"/>
  <c r="AT4" i="8"/>
  <c r="AT29" i="8"/>
  <c r="AR29" i="8"/>
  <c r="G36" i="8" s="1"/>
  <c r="AR3" i="7"/>
  <c r="D38" i="7" s="1"/>
  <c r="AR44" i="7"/>
  <c r="H38" i="7" s="1"/>
  <c r="AR31" i="7"/>
  <c r="G38" i="7" s="1"/>
  <c r="AR16" i="7"/>
  <c r="E38" i="7" s="1"/>
  <c r="AT44" i="7"/>
  <c r="H40" i="7" s="1"/>
  <c r="AT31" i="7"/>
  <c r="G40" i="7" s="1"/>
  <c r="AT16" i="7"/>
  <c r="E39" i="7" s="1"/>
  <c r="AT3" i="7"/>
  <c r="AR30" i="6"/>
  <c r="G37" i="6" s="1"/>
  <c r="AT30" i="6"/>
  <c r="G40" i="6" s="1"/>
  <c r="AR18" i="7"/>
  <c r="E53" i="7" s="1"/>
  <c r="AR29" i="5"/>
  <c r="G36" i="5" s="1"/>
  <c r="AT29" i="5"/>
  <c r="G37" i="5" s="1"/>
  <c r="T15" i="4"/>
  <c r="AR3" i="4"/>
  <c r="D36" i="4" s="1"/>
  <c r="AT3" i="4"/>
  <c r="D39" i="4" s="1"/>
  <c r="AT16" i="4"/>
  <c r="AR29" i="4"/>
  <c r="G36" i="4" s="1"/>
  <c r="AT29" i="4"/>
  <c r="G37" i="4" s="1"/>
  <c r="AR6" i="4"/>
  <c r="D52" i="4" s="1"/>
  <c r="AR5" i="4"/>
  <c r="D51" i="4" s="1"/>
  <c r="AT6" i="4"/>
  <c r="AT4" i="4"/>
  <c r="AR19" i="7"/>
  <c r="E54" i="7" s="1"/>
  <c r="AT32" i="5"/>
  <c r="AR34" i="7"/>
  <c r="G54" i="7" s="1"/>
  <c r="AR32" i="5"/>
  <c r="G52" i="5" s="1"/>
  <c r="AT31" i="6"/>
  <c r="AR32" i="6"/>
  <c r="G52" i="6" s="1"/>
  <c r="AT33" i="6"/>
  <c r="AT30" i="5"/>
  <c r="AR31" i="5"/>
  <c r="G51" i="5" s="1"/>
  <c r="AT32" i="7"/>
  <c r="AT34" i="7"/>
  <c r="AR33" i="6"/>
  <c r="G53" i="6" s="1"/>
  <c r="AR33" i="7"/>
  <c r="G53" i="7" s="1"/>
  <c r="AR47" i="7"/>
  <c r="H54" i="7" s="1"/>
  <c r="AR46" i="7"/>
  <c r="H53" i="7" s="1"/>
  <c r="AT45" i="7"/>
  <c r="AT47" i="7"/>
  <c r="AT32" i="4"/>
  <c r="AR31" i="4"/>
  <c r="G51" i="4" s="1"/>
  <c r="AR32" i="4"/>
  <c r="G52" i="4" s="1"/>
  <c r="AT30" i="4"/>
  <c r="E36" i="4"/>
  <c r="AR18" i="4"/>
  <c r="E51" i="4" s="1"/>
  <c r="AR19" i="4"/>
  <c r="E52" i="4" s="1"/>
  <c r="AO2" i="2"/>
  <c r="Q2" i="2"/>
  <c r="T15" i="2" s="1"/>
  <c r="U2" i="2"/>
  <c r="AP2" i="2"/>
  <c r="D37" i="8"/>
  <c r="D39" i="8"/>
  <c r="D38" i="8"/>
  <c r="AP29" i="3"/>
  <c r="AF50" i="6"/>
  <c r="AE50" i="6"/>
  <c r="AF49" i="6"/>
  <c r="AP49" i="6" s="1"/>
  <c r="AE49" i="6"/>
  <c r="AO49" i="6" s="1"/>
  <c r="AF8" i="3"/>
  <c r="AP8" i="3" s="1"/>
  <c r="AE8" i="3"/>
  <c r="AO8" i="3" s="1"/>
  <c r="AE44" i="6"/>
  <c r="AO44" i="6" s="1"/>
  <c r="AF44" i="6"/>
  <c r="AP44" i="6" s="1"/>
  <c r="AE53" i="6"/>
  <c r="AF53" i="6"/>
  <c r="AE13" i="3"/>
  <c r="AF13" i="3"/>
  <c r="E38" i="6"/>
  <c r="E39" i="6"/>
  <c r="E40" i="6"/>
  <c r="AE46" i="6"/>
  <c r="AO46" i="6" s="1"/>
  <c r="AF46" i="6"/>
  <c r="AP46" i="6" s="1"/>
  <c r="AF7" i="3"/>
  <c r="AP7" i="3" s="1"/>
  <c r="AE7" i="3"/>
  <c r="AO7" i="3" s="1"/>
  <c r="AR32" i="8"/>
  <c r="G52" i="8" s="1"/>
  <c r="AT30" i="8"/>
  <c r="AR31" i="8"/>
  <c r="G51" i="8" s="1"/>
  <c r="AT32" i="8"/>
  <c r="AO29" i="3"/>
  <c r="Q29" i="3"/>
  <c r="U29" i="3"/>
  <c r="D39" i="6"/>
  <c r="D40" i="6"/>
  <c r="D38" i="6"/>
  <c r="AF10" i="3"/>
  <c r="AE10" i="3"/>
  <c r="AE52" i="6"/>
  <c r="AF52" i="6"/>
  <c r="AE5" i="3"/>
  <c r="AO5" i="3" s="1"/>
  <c r="AF5" i="3"/>
  <c r="AP5" i="3" s="1"/>
  <c r="AE6" i="3"/>
  <c r="AO6" i="3" s="1"/>
  <c r="AF6" i="3"/>
  <c r="AP6" i="3" s="1"/>
  <c r="AE12" i="3"/>
  <c r="AF12" i="3"/>
  <c r="AF11" i="3"/>
  <c r="AE11" i="3"/>
  <c r="AE51" i="6"/>
  <c r="AF51" i="6"/>
  <c r="AE48" i="6"/>
  <c r="AO48" i="6" s="1"/>
  <c r="AF48" i="6"/>
  <c r="AP48" i="6" s="1"/>
  <c r="AF9" i="3"/>
  <c r="AP9" i="3" s="1"/>
  <c r="AF47" i="6"/>
  <c r="AP47" i="6" s="1"/>
  <c r="AE47" i="6"/>
  <c r="AO47" i="6" s="1"/>
  <c r="AF4" i="3"/>
  <c r="AP4" i="3" s="1"/>
  <c r="AE4" i="3"/>
  <c r="AO4" i="3" s="1"/>
  <c r="AE45" i="6"/>
  <c r="AO45" i="6" s="1"/>
  <c r="AF45" i="6"/>
  <c r="AP45" i="6" s="1"/>
  <c r="AT4" i="7"/>
  <c r="AT6" i="7"/>
  <c r="AR5" i="7"/>
  <c r="D53" i="7" s="1"/>
  <c r="AR6" i="7"/>
  <c r="D54" i="7" s="1"/>
  <c r="Q15" i="5" l="1"/>
  <c r="AP42" i="6"/>
  <c r="AO42" i="6"/>
  <c r="AP2" i="5"/>
  <c r="U15" i="5"/>
  <c r="AO2" i="5"/>
  <c r="U41" i="5"/>
  <c r="Q41" i="5"/>
  <c r="AR16" i="3"/>
  <c r="E37" i="3" s="1"/>
  <c r="AR18" i="3"/>
  <c r="E52" i="3" s="1"/>
  <c r="AR19" i="3"/>
  <c r="E53" i="3" s="1"/>
  <c r="AR16" i="2"/>
  <c r="E36" i="2" s="1"/>
  <c r="E38" i="8"/>
  <c r="E37" i="8"/>
  <c r="AR18" i="2"/>
  <c r="E51" i="2" s="1"/>
  <c r="AT16" i="2"/>
  <c r="AR19" i="2"/>
  <c r="E52" i="2" s="1"/>
  <c r="E55" i="2" s="1"/>
  <c r="Q2" i="5"/>
  <c r="T15" i="5" s="1"/>
  <c r="U2" i="5"/>
  <c r="AR16" i="5"/>
  <c r="E36" i="5" s="1"/>
  <c r="AT42" i="5"/>
  <c r="AR42" i="5"/>
  <c r="H36" i="5" s="1"/>
  <c r="AT16" i="5"/>
  <c r="AT30" i="3"/>
  <c r="AR30" i="3"/>
  <c r="G37" i="3" s="1"/>
  <c r="AT3" i="2"/>
  <c r="AR3" i="2"/>
  <c r="D36" i="2" s="1"/>
  <c r="D38" i="4"/>
  <c r="D37" i="4"/>
  <c r="G38" i="5"/>
  <c r="G39" i="5"/>
  <c r="G38" i="6"/>
  <c r="E40" i="7"/>
  <c r="E41" i="7"/>
  <c r="G41" i="7"/>
  <c r="G39" i="6"/>
  <c r="G38" i="4"/>
  <c r="H41" i="7"/>
  <c r="H39" i="7"/>
  <c r="G39" i="7"/>
  <c r="G39" i="4"/>
  <c r="E39" i="4"/>
  <c r="E37" i="4"/>
  <c r="E38" i="4"/>
  <c r="AR5" i="2"/>
  <c r="D51" i="2" s="1"/>
  <c r="AT6" i="2"/>
  <c r="AT4" i="2"/>
  <c r="AR6" i="2"/>
  <c r="D52" i="2" s="1"/>
  <c r="D55" i="2" s="1"/>
  <c r="G37" i="8"/>
  <c r="G39" i="8"/>
  <c r="G38" i="8"/>
  <c r="AT31" i="3"/>
  <c r="AR33" i="3"/>
  <c r="G53" i="3" s="1"/>
  <c r="AR32" i="3"/>
  <c r="G52" i="3" s="1"/>
  <c r="AT33" i="3"/>
  <c r="U42" i="6"/>
  <c r="Q42" i="6"/>
  <c r="E39" i="3"/>
  <c r="E40" i="3"/>
  <c r="E38" i="3"/>
  <c r="AR44" i="5"/>
  <c r="H51" i="5" s="1"/>
  <c r="AT45" i="5"/>
  <c r="AT43" i="5"/>
  <c r="AR45" i="5"/>
  <c r="H52" i="5" s="1"/>
  <c r="Q2" i="3"/>
  <c r="T15" i="3" s="1"/>
  <c r="U2" i="3"/>
  <c r="AO2" i="3"/>
  <c r="AR19" i="5"/>
  <c r="E52" i="5" s="1"/>
  <c r="AR18" i="5"/>
  <c r="E51" i="5" s="1"/>
  <c r="AP2" i="3"/>
  <c r="D40" i="7"/>
  <c r="D39" i="7"/>
  <c r="D41" i="7"/>
  <c r="AT3" i="5" l="1"/>
  <c r="D39" i="5" s="1"/>
  <c r="AT6" i="5"/>
  <c r="AR6" i="5"/>
  <c r="D52" i="5" s="1"/>
  <c r="AR5" i="5"/>
  <c r="D51" i="5" s="1"/>
  <c r="AT4" i="5"/>
  <c r="AR3" i="5"/>
  <c r="D36" i="5" s="1"/>
  <c r="AT43" i="6"/>
  <c r="AR43" i="6"/>
  <c r="H37" i="6" s="1"/>
  <c r="AR3" i="3"/>
  <c r="D37" i="3" s="1"/>
  <c r="AT3" i="3"/>
  <c r="D37" i="2"/>
  <c r="D39" i="2"/>
  <c r="D38" i="2"/>
  <c r="H39" i="5"/>
  <c r="H37" i="5"/>
  <c r="H38" i="5"/>
  <c r="AT46" i="6"/>
  <c r="AR45" i="6"/>
  <c r="H52" i="6" s="1"/>
  <c r="AR46" i="6"/>
  <c r="H53" i="6" s="1"/>
  <c r="AT44" i="6"/>
  <c r="E38" i="2"/>
  <c r="E39" i="2"/>
  <c r="E37" i="2"/>
  <c r="E39" i="5"/>
  <c r="E37" i="5"/>
  <c r="E38" i="5"/>
  <c r="G40" i="3"/>
  <c r="G38" i="3"/>
  <c r="G39" i="3"/>
  <c r="AT6" i="3"/>
  <c r="AR5" i="3"/>
  <c r="D52" i="3" s="1"/>
  <c r="AV30" i="3"/>
  <c r="AR6" i="3"/>
  <c r="D53" i="3" s="1"/>
  <c r="AT4" i="3"/>
  <c r="D37" i="5" l="1"/>
  <c r="D38" i="5"/>
  <c r="H39" i="6"/>
  <c r="H38" i="6"/>
  <c r="H40" i="6"/>
  <c r="D40" i="3"/>
  <c r="D39" i="3"/>
  <c r="D38" i="3"/>
  <c r="AT2" i="9"/>
  <c r="AX3" i="9" s="1"/>
  <c r="AV3" i="9" l="1"/>
  <c r="E36" i="9" s="1"/>
  <c r="AX6" i="9"/>
  <c r="AV5" i="9"/>
  <c r="E51" i="9" s="1"/>
  <c r="E49" i="9" s="1"/>
  <c r="AV6" i="9"/>
  <c r="E52" i="9" s="1"/>
  <c r="AX4" i="9"/>
  <c r="E39" i="9"/>
  <c r="E37" i="9"/>
  <c r="E38" i="9"/>
</calcChain>
</file>

<file path=xl/sharedStrings.xml><?xml version="1.0" encoding="utf-8"?>
<sst xmlns="http://schemas.openxmlformats.org/spreadsheetml/2006/main" count="2586" uniqueCount="453">
  <si>
    <t>Qmax</t>
  </si>
  <si>
    <t>Тип</t>
  </si>
  <si>
    <t>a</t>
  </si>
  <si>
    <t>20-20</t>
  </si>
  <si>
    <t>20-32</t>
  </si>
  <si>
    <t>20-40</t>
  </si>
  <si>
    <t>20-50</t>
  </si>
  <si>
    <t>32-32</t>
  </si>
  <si>
    <t>32-40</t>
  </si>
  <si>
    <t>32-50</t>
  </si>
  <si>
    <t>32-65</t>
  </si>
  <si>
    <t>32-80</t>
  </si>
  <si>
    <t>50-100</t>
  </si>
  <si>
    <t>50-125</t>
  </si>
  <si>
    <t>50-50</t>
  </si>
  <si>
    <t>50-65</t>
  </si>
  <si>
    <t>50-80</t>
  </si>
  <si>
    <t>Исходные данные</t>
  </si>
  <si>
    <t>V0</t>
  </si>
  <si>
    <t>Кинематическая вязкость воды</t>
  </si>
  <si>
    <t>Re</t>
  </si>
  <si>
    <t>l</t>
  </si>
  <si>
    <t>dP м.в.ст</t>
  </si>
  <si>
    <t>Допустимые потери, м.в.ст</t>
  </si>
  <si>
    <t>Скорость в трубопроводе, м/с</t>
  </si>
  <si>
    <t>Скорость на измерительном участке, м/с</t>
  </si>
  <si>
    <t>Потеря давления на сужении/расширении, м.в.ст</t>
  </si>
  <si>
    <t>Расход минимальный, т/ч</t>
  </si>
  <si>
    <t>Расход максимальный, т/ч</t>
  </si>
  <si>
    <t>Температура, град С</t>
  </si>
  <si>
    <t>Рабочее давление, кгс/см2</t>
  </si>
  <si>
    <t>Температурный график</t>
  </si>
  <si>
    <t>150/70</t>
  </si>
  <si>
    <t>150/75</t>
  </si>
  <si>
    <t>95/70</t>
  </si>
  <si>
    <t>Справочные данные</t>
  </si>
  <si>
    <t>130/70</t>
  </si>
  <si>
    <t>115/70</t>
  </si>
  <si>
    <t>График</t>
  </si>
  <si>
    <t>Темпер.подачи</t>
  </si>
  <si>
    <t>Дельта</t>
  </si>
  <si>
    <t>Отопление</t>
  </si>
  <si>
    <t>ГВС</t>
  </si>
  <si>
    <t>Отопление+вентиляция</t>
  </si>
  <si>
    <t>85/60</t>
  </si>
  <si>
    <t>Темпер.обратн.</t>
  </si>
  <si>
    <t>Т1</t>
  </si>
  <si>
    <t>Т2</t>
  </si>
  <si>
    <t>Т3</t>
  </si>
  <si>
    <t>Т4</t>
  </si>
  <si>
    <t>Возможные температурные графики системы отопления</t>
  </si>
  <si>
    <t>Возможные температурные графики системы ГВС</t>
  </si>
  <si>
    <t>65/55</t>
  </si>
  <si>
    <t>Темпер.ГВС</t>
  </si>
  <si>
    <t>Темпер.циркуляции</t>
  </si>
  <si>
    <t>60/50</t>
  </si>
  <si>
    <t>55/40</t>
  </si>
  <si>
    <t>Плотность воды, кг/м3</t>
  </si>
  <si>
    <t xml:space="preserve">   - Максимальный расход Qmax, м3/ч</t>
  </si>
  <si>
    <t>105/70</t>
  </si>
  <si>
    <t>75/60</t>
  </si>
  <si>
    <r>
      <t>a</t>
    </r>
    <r>
      <rPr>
        <sz val="10"/>
        <color indexed="8"/>
        <rFont val="Arial"/>
        <family val="2"/>
        <charset val="204"/>
      </rPr>
      <t xml:space="preserve">1, </t>
    </r>
    <r>
      <rPr>
        <sz val="10"/>
        <color indexed="8"/>
        <rFont val="Symbol"/>
        <family val="1"/>
        <charset val="2"/>
      </rPr>
      <t>a</t>
    </r>
    <r>
      <rPr>
        <sz val="10"/>
        <color indexed="8"/>
        <rFont val="Arial"/>
        <family val="2"/>
        <charset val="204"/>
      </rPr>
      <t>2</t>
    </r>
  </si>
  <si>
    <r>
      <t>h</t>
    </r>
    <r>
      <rPr>
        <vertAlign val="subscript"/>
        <sz val="10"/>
        <rFont val="Arial Cyr"/>
        <family val="2"/>
        <charset val="204"/>
      </rPr>
      <t>k</t>
    </r>
  </si>
  <si>
    <r>
      <t>x</t>
    </r>
    <r>
      <rPr>
        <vertAlign val="subscript"/>
        <sz val="10"/>
        <rFont val="Arial Cyr"/>
        <family val="2"/>
        <charset val="204"/>
      </rPr>
      <t>расш</t>
    </r>
  </si>
  <si>
    <r>
      <t>x</t>
    </r>
    <r>
      <rPr>
        <vertAlign val="subscript"/>
        <sz val="10"/>
        <rFont val="Arial Cyr"/>
        <family val="2"/>
        <charset val="204"/>
      </rPr>
      <t>тр</t>
    </r>
  </si>
  <si>
    <t>Выбор класса</t>
  </si>
  <si>
    <t>max</t>
  </si>
  <si>
    <t>класс</t>
  </si>
  <si>
    <t>Тепловая нагрузка, Гкал/ч</t>
  </si>
  <si>
    <t>Результат</t>
  </si>
  <si>
    <t>Подающий тр-д</t>
  </si>
  <si>
    <t>Gmax</t>
  </si>
  <si>
    <t>Gmin</t>
  </si>
  <si>
    <t>Кин.вязк.</t>
  </si>
  <si>
    <t>Экв.шер.</t>
  </si>
  <si>
    <t>Диапазоны расхода - min</t>
  </si>
  <si>
    <t>Обратный тр-д</t>
  </si>
  <si>
    <t>Тр-д ГВС</t>
  </si>
  <si>
    <t>Циркуляционный тр-д</t>
  </si>
  <si>
    <t>Объемный расход минимальный, м3/ч</t>
  </si>
  <si>
    <t>Объемный расход максимальный, м3/ч</t>
  </si>
  <si>
    <t>По нагрузке</t>
  </si>
  <si>
    <t>Температура</t>
  </si>
  <si>
    <t>Схема №1</t>
  </si>
  <si>
    <t>Схема №2</t>
  </si>
  <si>
    <t>Схема №3</t>
  </si>
  <si>
    <t>Схема №4</t>
  </si>
  <si>
    <t>Схема №5</t>
  </si>
  <si>
    <t>Схема №6</t>
  </si>
  <si>
    <t>120/60</t>
  </si>
  <si>
    <t>Исх.данные</t>
  </si>
  <si>
    <t>Варианты переходов</t>
  </si>
  <si>
    <t>Тип РС</t>
  </si>
  <si>
    <t>Переход</t>
  </si>
  <si>
    <t>Тип канала</t>
  </si>
  <si>
    <t>L</t>
  </si>
  <si>
    <t>S</t>
  </si>
  <si>
    <t>кол-во вариант</t>
  </si>
  <si>
    <t>Кол-во вариантов</t>
  </si>
  <si>
    <t>DN</t>
  </si>
  <si>
    <t>Интерполяционные коэффициенты</t>
  </si>
  <si>
    <t xml:space="preserve">   - Переходный расход Qt2, м3/ч</t>
  </si>
  <si>
    <t>Скорость V1, м/с</t>
  </si>
  <si>
    <t>первое вхождение по потерям и классу</t>
  </si>
  <si>
    <t>ДА</t>
  </si>
  <si>
    <t>НЕТ</t>
  </si>
  <si>
    <t>Выбранный расходомер и характеристики</t>
  </si>
  <si>
    <t>Расчётные данные</t>
  </si>
  <si>
    <t>Lпр.уч*</t>
  </si>
  <si>
    <t>– динамическим диапазоном расхода в трубопроводе.</t>
  </si>
  <si>
    <t>– допустимой величиной гидравлических потерь.</t>
  </si>
  <si>
    <t>Недостатками являются возрастание длины монтажной конструкции за счет применения конфузора/диффузора и увеличение гидравлических потерь.</t>
  </si>
  <si>
    <t>Исходные данные для расчетов:</t>
  </si>
  <si>
    <t>Обычно выбирается расходомер таким образом, чтобы диапазон скоростей потока находился в диапазоне 1…3 м/с.</t>
  </si>
  <si>
    <t>●  Тепловая нагрузка, Гкал/ч;</t>
  </si>
  <si>
    <t>●  Температурный график;</t>
  </si>
  <si>
    <t>●  Рабочее давление в трубопроводе, кгс/см2.</t>
  </si>
  <si>
    <t>по адресу:</t>
  </si>
  <si>
    <t>70/40</t>
  </si>
  <si>
    <t>150-150</t>
  </si>
  <si>
    <t>150-200</t>
  </si>
  <si>
    <t>150-250</t>
  </si>
  <si>
    <t>150-300</t>
  </si>
  <si>
    <t>150-350</t>
  </si>
  <si>
    <t>Control_DU_Tr</t>
  </si>
  <si>
    <t>DU_tr</t>
  </si>
  <si>
    <t>DyTr_New</t>
  </si>
  <si>
    <t>Grafik</t>
  </si>
  <si>
    <t>GrafikGVS</t>
  </si>
  <si>
    <t>InterpolCoeff</t>
  </si>
  <si>
    <t>ParamKM_New</t>
  </si>
  <si>
    <t>ParamPiterflow</t>
  </si>
  <si>
    <t>TemperGrafik</t>
  </si>
  <si>
    <t>TemperGrafikGVS</t>
  </si>
  <si>
    <t>TemperGVS</t>
  </si>
  <si>
    <t>100-100</t>
  </si>
  <si>
    <t>100-125</t>
  </si>
  <si>
    <t>100-150</t>
  </si>
  <si>
    <t>100-200</t>
  </si>
  <si>
    <t>100-250</t>
  </si>
  <si>
    <t>Тр-д 1</t>
  </si>
  <si>
    <t>i</t>
  </si>
  <si>
    <t>Ii</t>
  </si>
  <si>
    <t>Ji</t>
  </si>
  <si>
    <t>ni</t>
  </si>
  <si>
    <r>
      <t>g</t>
    </r>
    <r>
      <rPr>
        <vertAlign val="subscript"/>
        <sz val="12"/>
        <rFont val="Symbol"/>
        <family val="1"/>
        <charset val="2"/>
      </rPr>
      <t>p</t>
    </r>
  </si>
  <si>
    <t>град К</t>
  </si>
  <si>
    <t>Р, МПа</t>
  </si>
  <si>
    <t>t=</t>
  </si>
  <si>
    <t>p=</t>
  </si>
  <si>
    <t>m3/kg</t>
  </si>
  <si>
    <t>R</t>
  </si>
  <si>
    <t>Тр-д 2</t>
  </si>
  <si>
    <t>Тр-д 3</t>
  </si>
  <si>
    <t>Тр-д 4</t>
  </si>
  <si>
    <t>65/35</t>
  </si>
  <si>
    <t>40-40</t>
  </si>
  <si>
    <t>40-50</t>
  </si>
  <si>
    <t>40-65</t>
  </si>
  <si>
    <t>40-80</t>
  </si>
  <si>
    <t>40-100</t>
  </si>
  <si>
    <t>20-25</t>
  </si>
  <si>
    <t>90/70</t>
  </si>
  <si>
    <t>115/65</t>
  </si>
  <si>
    <t>72/44</t>
  </si>
  <si>
    <t>125/70</t>
  </si>
  <si>
    <t>110/70</t>
  </si>
  <si>
    <t>25-25</t>
  </si>
  <si>
    <t>25-32</t>
  </si>
  <si>
    <t>25-40</t>
  </si>
  <si>
    <t>25-50</t>
  </si>
  <si>
    <t>25-65</t>
  </si>
  <si>
    <t>65/40</t>
  </si>
  <si>
    <t>95/60</t>
  </si>
  <si>
    <t>200-200</t>
  </si>
  <si>
    <t>200-250</t>
  </si>
  <si>
    <t>200-300</t>
  </si>
  <si>
    <t>200-350</t>
  </si>
  <si>
    <t>200-400</t>
  </si>
  <si>
    <t>='Схема 1'!$Q$125:$Q$139</t>
  </si>
  <si>
    <t>='Схема 1'!$H$88:$H$177</t>
  </si>
  <si>
    <t>='Схема 1'!$B$82:$B$96</t>
  </si>
  <si>
    <t>='Схема 1'!$B$100:$B$107</t>
  </si>
  <si>
    <t>='Схема 1'!$Q$102:$Q$109</t>
  </si>
  <si>
    <t>='Схема 1'!$L$88:$O$177</t>
  </si>
  <si>
    <t>='Схема 1'!$B$110:$E$163</t>
  </si>
  <si>
    <t>='Схема 1'!$B$82:$E$96</t>
  </si>
  <si>
    <t>='Схема 1'!$B$100:$E$107</t>
  </si>
  <si>
    <t>='Схема 1'!$C$100:$C$107</t>
  </si>
  <si>
    <t>Допуст.потери</t>
  </si>
  <si>
    <t>65-65</t>
  </si>
  <si>
    <t>65-80</t>
  </si>
  <si>
    <t>80-80</t>
  </si>
  <si>
    <t>65-100</t>
  </si>
  <si>
    <t>80-100</t>
  </si>
  <si>
    <t>65-125</t>
  </si>
  <si>
    <t>80-125</t>
  </si>
  <si>
    <t>65-150</t>
  </si>
  <si>
    <t>80-150</t>
  </si>
  <si>
    <t>80-200</t>
  </si>
  <si>
    <t>Qt2</t>
  </si>
  <si>
    <t>TypePFlow</t>
  </si>
  <si>
    <t>К-т сопр</t>
  </si>
  <si>
    <t>Длина, мм</t>
  </si>
  <si>
    <t>R_С</t>
  </si>
  <si>
    <t>R_Ф</t>
  </si>
  <si>
    <t xml:space="preserve">К-т сопротивления </t>
  </si>
  <si>
    <t>РС32-15</t>
  </si>
  <si>
    <t>РС32-30</t>
  </si>
  <si>
    <t>РС40-22</t>
  </si>
  <si>
    <t>РС40-45</t>
  </si>
  <si>
    <t>РС50-36</t>
  </si>
  <si>
    <t>РС50-72</t>
  </si>
  <si>
    <t>РС65-60</t>
  </si>
  <si>
    <t>РС65-120</t>
  </si>
  <si>
    <t>РС20-6</t>
  </si>
  <si>
    <t>РС20-12</t>
  </si>
  <si>
    <t>РС25-9</t>
  </si>
  <si>
    <t>РС25-18</t>
  </si>
  <si>
    <t>РС80-90</t>
  </si>
  <si>
    <t>РС80-180</t>
  </si>
  <si>
    <t>РС100-140</t>
  </si>
  <si>
    <t>РС100-280</t>
  </si>
  <si>
    <t>РС150-630</t>
  </si>
  <si>
    <t>РС200-1000</t>
  </si>
  <si>
    <t>dP_С м.в.ст</t>
  </si>
  <si>
    <t>dP_Ф м.в.ст</t>
  </si>
  <si>
    <t>dPпр.уч+перех</t>
  </si>
  <si>
    <t>dPсум_С</t>
  </si>
  <si>
    <t>dPсум_Ф</t>
  </si>
  <si>
    <t>dP_С+класс</t>
  </si>
  <si>
    <t>dP_Ф+класс</t>
  </si>
  <si>
    <t>Qt1</t>
  </si>
  <si>
    <t xml:space="preserve">   - Переходный расход Qt1, м3/ч</t>
  </si>
  <si>
    <t>135/70</t>
  </si>
  <si>
    <t>●  Допустимые потери падения давления на ПРЭМ и переходах, м.в.ст;</t>
  </si>
  <si>
    <t>Характеристики ПРЭМ</t>
  </si>
  <si>
    <t>ПРЭМ-250-D</t>
  </si>
  <si>
    <t>ПРЭМ-250-C1</t>
  </si>
  <si>
    <t>ПРЭМ-250-B1</t>
  </si>
  <si>
    <t>ПРЭМ-300-D</t>
  </si>
  <si>
    <t>ПРЭМ-300-C1</t>
  </si>
  <si>
    <t>ПРЭМ-300-B1</t>
  </si>
  <si>
    <t>ПРЭМ-15-D</t>
  </si>
  <si>
    <t>ПРЭМ-15-C1</t>
  </si>
  <si>
    <t>ПРЭМ-15-B1</t>
  </si>
  <si>
    <t>ПРЭМ-20-D</t>
  </si>
  <si>
    <t>ПРЭМ-20-C1</t>
  </si>
  <si>
    <t>ПРЭМ-20-B1</t>
  </si>
  <si>
    <t>ПРЭМ-25-D</t>
  </si>
  <si>
    <t>ПРЭМ-25-C1</t>
  </si>
  <si>
    <t>ПРЭМ-25-B1</t>
  </si>
  <si>
    <t>ПРЭМ-32-D</t>
  </si>
  <si>
    <t>ПРЭМ-32-C1</t>
  </si>
  <si>
    <t>ПРЭМ-32-B1</t>
  </si>
  <si>
    <t>ПРЭМ-40-D</t>
  </si>
  <si>
    <t>ПРЭМ-40-C1</t>
  </si>
  <si>
    <t>ПРЭМ-40-B1</t>
  </si>
  <si>
    <t>ПРЭМ-50-D</t>
  </si>
  <si>
    <t>ПРЭМ-50-C1</t>
  </si>
  <si>
    <t>ПРЭМ-50-B1</t>
  </si>
  <si>
    <t>ПРЭМ-65-D</t>
  </si>
  <si>
    <t>ПРЭМ-65-C1</t>
  </si>
  <si>
    <t>ПРЭМ-65-B1</t>
  </si>
  <si>
    <t>ПРЭМ-80-D</t>
  </si>
  <si>
    <t>ПРЭМ-80-C1</t>
  </si>
  <si>
    <t>ПРЭМ-80-B1</t>
  </si>
  <si>
    <t>ПРЭМ-100-D</t>
  </si>
  <si>
    <t>ПРЭМ-100-C1</t>
  </si>
  <si>
    <t>ПРЭМ-100-B1</t>
  </si>
  <si>
    <t>ПРЭМ-150-D</t>
  </si>
  <si>
    <t>ПРЭМ-150-C1</t>
  </si>
  <si>
    <t>ПРЭМ-150-B1</t>
  </si>
  <si>
    <t>ПРЭМ-200-D</t>
  </si>
  <si>
    <t>ПРЭМ-200-C1</t>
  </si>
  <si>
    <t>ПРЭМ-200-B1</t>
  </si>
  <si>
    <t>ПРЭМ-20-Сэндвич</t>
  </si>
  <si>
    <t>ПРЭМ-20-Фланец</t>
  </si>
  <si>
    <t>ПРЭМ-25-Сэндвич</t>
  </si>
  <si>
    <t>ПРЭМ-25-Фланец</t>
  </si>
  <si>
    <t>ПРЭМ-32-Сэндвич</t>
  </si>
  <si>
    <t>ПРЭМ-32-Фланец</t>
  </si>
  <si>
    <t>ПРЭМ-40-Сэндвич</t>
  </si>
  <si>
    <t>ПРЭМ-40-Фланец</t>
  </si>
  <si>
    <t>ПРЭМ-50-Сэндвич</t>
  </si>
  <si>
    <t>ПРЭМ-50-Фланец</t>
  </si>
  <si>
    <t>ПРЭМ-65-Фланец</t>
  </si>
  <si>
    <t>ПРЭМ-80-Фланец</t>
  </si>
  <si>
    <t>ПРЭМ-100-Фланец</t>
  </si>
  <si>
    <t>ПРЭМ-150-Фланец</t>
  </si>
  <si>
    <t>ПРЭМ-200-Фланец</t>
  </si>
  <si>
    <t>ПРЭМ-250-Фланец</t>
  </si>
  <si>
    <t>ПРЭМ-300-Фланец</t>
  </si>
  <si>
    <t>ПРЭМ-15-Фланец</t>
  </si>
  <si>
    <t>ПРЭМ-15-Сэндвич</t>
  </si>
  <si>
    <t>ПРЭМ-15</t>
  </si>
  <si>
    <t>ПРЭМ-20</t>
  </si>
  <si>
    <t>15-20</t>
  </si>
  <si>
    <t>ПРЭМ-25</t>
  </si>
  <si>
    <t>15-25</t>
  </si>
  <si>
    <t>ПРЭМ-32</t>
  </si>
  <si>
    <t>15-32</t>
  </si>
  <si>
    <t>ПРЭМ-40</t>
  </si>
  <si>
    <t>15-40</t>
  </si>
  <si>
    <t>ПРЭМ-50</t>
  </si>
  <si>
    <t>15-50</t>
  </si>
  <si>
    <t>15-65</t>
  </si>
  <si>
    <t>20-65</t>
  </si>
  <si>
    <t>ПРЭМ-65</t>
  </si>
  <si>
    <t>Размеры ПРЭМ</t>
  </si>
  <si>
    <t>ПРЭМ-80</t>
  </si>
  <si>
    <t>ПРЭМ-100</t>
  </si>
  <si>
    <t>ПРЭМ-150</t>
  </si>
  <si>
    <t>14,26</t>
  </si>
  <si>
    <t>28,08</t>
  </si>
  <si>
    <t>27,3</t>
  </si>
  <si>
    <t>30,14</t>
  </si>
  <si>
    <t>31,04</t>
  </si>
  <si>
    <t>29,24</t>
  </si>
  <si>
    <t>ПРЭМ-200</t>
  </si>
  <si>
    <t>ПРЭМ-250</t>
  </si>
  <si>
    <t>250-250</t>
  </si>
  <si>
    <t>ПРЭМ-300</t>
  </si>
  <si>
    <t>100-300</t>
  </si>
  <si>
    <t>250-300</t>
  </si>
  <si>
    <t>300-300</t>
  </si>
  <si>
    <t>75,14</t>
  </si>
  <si>
    <t>16,74</t>
  </si>
  <si>
    <t>250-350</t>
  </si>
  <si>
    <t>300-350</t>
  </si>
  <si>
    <t>50,92</t>
  </si>
  <si>
    <t>39,3</t>
  </si>
  <si>
    <t>26,78</t>
  </si>
  <si>
    <t>13,58</t>
  </si>
  <si>
    <t>150-400</t>
  </si>
  <si>
    <t>250-400</t>
  </si>
  <si>
    <t>300-400</t>
  </si>
  <si>
    <t>61,52</t>
  </si>
  <si>
    <t>150-500</t>
  </si>
  <si>
    <t>200-500</t>
  </si>
  <si>
    <t>250-500</t>
  </si>
  <si>
    <t>300-500</t>
  </si>
  <si>
    <t>37,88</t>
  </si>
  <si>
    <t>32,78</t>
  </si>
  <si>
    <t>27,54</t>
  </si>
  <si>
    <t>28,52</t>
  </si>
  <si>
    <t>200-600</t>
  </si>
  <si>
    <t>250-600</t>
  </si>
  <si>
    <t>300-600</t>
  </si>
  <si>
    <t>33,04</t>
  </si>
  <si>
    <t>37,46</t>
  </si>
  <si>
    <t>D</t>
  </si>
  <si>
    <t>C1</t>
  </si>
  <si>
    <t>B1</t>
  </si>
  <si>
    <t>41,12</t>
  </si>
  <si>
    <t>33,4</t>
  </si>
  <si>
    <t>53,14</t>
  </si>
  <si>
    <t>46,4</t>
  </si>
  <si>
    <t>22,14</t>
  </si>
  <si>
    <t>19,86</t>
  </si>
  <si>
    <t>46,06</t>
  </si>
  <si>
    <t>21,56</t>
  </si>
  <si>
    <t>22,62</t>
  </si>
  <si>
    <t>28,84</t>
  </si>
  <si>
    <t>24,62</t>
  </si>
  <si>
    <t>11,42</t>
  </si>
  <si>
    <t>23,54</t>
  </si>
  <si>
    <t>40,28</t>
  </si>
  <si>
    <t>34,2</t>
  </si>
  <si>
    <t>25,98</t>
  </si>
  <si>
    <t>45,24</t>
  </si>
  <si>
    <t>13,16</t>
  </si>
  <si>
    <t>36,86</t>
  </si>
  <si>
    <t>66,36</t>
  </si>
  <si>
    <t>16,26</t>
  </si>
  <si>
    <t>32,52</t>
  </si>
  <si>
    <t>70,44</t>
  </si>
  <si>
    <t>15,82</t>
  </si>
  <si>
    <t>60,94</t>
  </si>
  <si>
    <t>59,96</t>
  </si>
  <si>
    <t>21,78</t>
  </si>
  <si>
    <t>По расходу, Т/Ч</t>
  </si>
  <si>
    <t>По расходу, М3/Ч</t>
  </si>
  <si>
    <t>Рекомендации по выбору типоразмера и класса расходомера:</t>
  </si>
  <si>
    <t xml:space="preserve"> </t>
  </si>
  <si>
    <t>Программа по выбору расходомеров ПРЭМ для УУТЭ и УУХВ</t>
  </si>
  <si>
    <t>Для упрощения процесса выбора предлагается ряд типовых схем тепловодопотребления:</t>
  </si>
  <si>
    <t>Однотрубная система теплоснабжения / Холодное водоснабжение (ХВС)</t>
  </si>
  <si>
    <t>Выбор расходомеров ПРЭМ на узле учета тепловой энергии (УУТЭ) или холодной воды (УУХВ)</t>
  </si>
  <si>
    <t>Расчетный максимальный расход, т/ч (м3/ч)</t>
  </si>
  <si>
    <t>Расчетный минимальный расход, т/ч (м3/ч)</t>
  </si>
  <si>
    <t>Способ подбора</t>
  </si>
  <si>
    <t>Примечания:</t>
  </si>
  <si>
    <t>Выбор расходомеров ПРЭМ на узле учета тепловой энергии (УУТЭ)</t>
  </si>
  <si>
    <t>●  Расход, т/ч (м3/ч)</t>
  </si>
  <si>
    <t>Двухтрубная система теплоснабжения с зависимым присоединением систем отопления и вентиляции</t>
  </si>
  <si>
    <t>Двухтрубная открытая система теплоснабжения с зависимым присоединением систем отопления и вентиляции и отсутствием линии рециркуляции в системе ГВС</t>
  </si>
  <si>
    <t>Вариант 1:</t>
  </si>
  <si>
    <t>Вариант 2:</t>
  </si>
  <si>
    <t>Двухтрубная открытая система теплоснабжения с зависимым присоединением систем отопления и вентиляции и линией рециркуляции в системе ГВС</t>
  </si>
  <si>
    <t>Четырёхтрубная система теплоснабжения с зависимым присоединением систем отопления и вентиляции и линией рециркуляции в системе ГВС</t>
  </si>
  <si>
    <t>Трёхтрубная система теплоснабжения с зависимым присоединением систем отопления и вентиляции и отсутствием линии рециркуляции в системе ГВС.</t>
  </si>
  <si>
    <t xml:space="preserve">Если измеряемый диапазон попадает в диапазоны измерений ПРЭМ с разными DN, то целесообразно выбирать расходомер с меньшим DN. </t>
  </si>
  <si>
    <t>Уменьшение DN позволяет повысить точность измерений и уменьшить количество осадков, выпадающих на электродах при большей скорости потока.</t>
  </si>
  <si>
    <t>●  DN трубопровода, мм;</t>
  </si>
  <si>
    <t>1) Гидравлические потери на сужении/расширении и прямых участках рассчитывается исходя из длины прямых участков 2DN до и после расходомера и применении стандартных переходов по ГОСТ 17378, если DN трубопровода больше, чем DN расходомера.</t>
  </si>
  <si>
    <t>Позиция DN (DyTr_New)</t>
  </si>
  <si>
    <t>первое вхождение по dP, классу и DN</t>
  </si>
  <si>
    <t>DN0</t>
  </si>
  <si>
    <t>Выбор DN</t>
  </si>
  <si>
    <t>DN1</t>
  </si>
  <si>
    <t>анализ на DN1=DN2</t>
  </si>
  <si>
    <t>DN трубопровода, мм</t>
  </si>
  <si>
    <t>DN, мм</t>
  </si>
  <si>
    <t xml:space="preserve">Эквивал. DN с учетом закругления граней. Для DN20,32 R=1, DN50...100 R=5, </t>
  </si>
  <si>
    <t>DN тр-да (для контроля)</t>
  </si>
  <si>
    <t>* Длина прямого участка вычисляется как (2+2)*DN+Lрасходомера если есть переходы и Lрасходомера - если нет</t>
  </si>
  <si>
    <t>При определении требуемого DN и класса ПРЭМ следует руководствоваться:</t>
  </si>
  <si>
    <t>A1</t>
  </si>
  <si>
    <t>A</t>
  </si>
  <si>
    <t>ПРЭМ-15-A1</t>
  </si>
  <si>
    <t>ПРЭМ-20-A1</t>
  </si>
  <si>
    <t>ПРЭМ-25-A1</t>
  </si>
  <si>
    <t>ПРЭМ-32-A1</t>
  </si>
  <si>
    <t>ПРЭМ-40-A1</t>
  </si>
  <si>
    <t>ПРЭМ-50-A1</t>
  </si>
  <si>
    <t>ПРЭМ-65-A1</t>
  </si>
  <si>
    <t>ПРЭМ-80-A1</t>
  </si>
  <si>
    <t>ПРЭМ-100-A1</t>
  </si>
  <si>
    <t>ПРЭМ-150-A1</t>
  </si>
  <si>
    <t>ПРЭМ-200-A1</t>
  </si>
  <si>
    <t>ПРЭМ-250-A1</t>
  </si>
  <si>
    <t>ПРЭМ-300-A1</t>
  </si>
  <si>
    <t>ПРЭМ-15-A</t>
  </si>
  <si>
    <t>ПРЭМ-20-A</t>
  </si>
  <si>
    <t>ПРЭМ-25-A</t>
  </si>
  <si>
    <t>ПРЭМ-32-A</t>
  </si>
  <si>
    <t>ПРЭМ-40-A</t>
  </si>
  <si>
    <t>ПРЭМ-50-A</t>
  </si>
  <si>
    <t>ПРЭМ-65-A</t>
  </si>
  <si>
    <t>ПРЭМ-80-A</t>
  </si>
  <si>
    <t>ПРЭМ-100-A</t>
  </si>
  <si>
    <t>ПРЭМ-150-A</t>
  </si>
  <si>
    <t>ПРЭМ-200-A</t>
  </si>
  <si>
    <t>ПРЭМ-250-A</t>
  </si>
  <si>
    <t>ПРЭМ-300-A</t>
  </si>
  <si>
    <t>15-15</t>
  </si>
  <si>
    <t>Метод подбора</t>
  </si>
  <si>
    <t>Метод подбора:</t>
  </si>
  <si>
    <t>Экономный</t>
  </si>
  <si>
    <t>Оптимальный</t>
  </si>
  <si>
    <t>Затратный</t>
  </si>
  <si>
    <r>
      <t>Программа вычисляет динамический диапазон расходов в трубопроводах, гидравлические потери</t>
    </r>
    <r>
      <rPr>
        <vertAlign val="superscript"/>
        <sz val="14"/>
        <rFont val="Arial"/>
        <family val="2"/>
        <charset val="204"/>
      </rPr>
      <t>1)</t>
    </r>
    <r>
      <rPr>
        <sz val="14"/>
        <rFont val="Arial"/>
        <family val="2"/>
        <charset val="204"/>
      </rPr>
      <t xml:space="preserve"> на сужении/расширении и на основании полученных данных выбирает DN и класс ПРЭМ. 
Предлагается 3 метода подбора DN в зависимости от стоимости приборов в диапазоне скоростей на участках от 1 до 3 м/с: Экономный; Оптимальный; Затратный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</si>
</sst>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0000"/>
    <numFmt numFmtId="166" formatCode="0.000000000"/>
    <numFmt numFmtId="167" formatCode="0.0"/>
    <numFmt numFmtId="168" formatCode="0.0000"/>
    <numFmt numFmtId="169" formatCode="0.000E+00"/>
    <numFmt numFmtId="170" formatCode="0.000"/>
    <numFmt numFmtId="171" formatCode="0.0000000000000000E+00"/>
    <numFmt numFmtId="172" formatCode="0.0000000000E+00"/>
  </numFmts>
  <fonts count="81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color indexed="10"/>
      <name val="Arial Cyr"/>
      <charset val="204"/>
    </font>
    <font>
      <b/>
      <sz val="10"/>
      <color indexed="10"/>
      <name val="Arial Cyr"/>
      <charset val="204"/>
    </font>
    <font>
      <b/>
      <sz val="12"/>
      <color indexed="10"/>
      <name val="Symbol"/>
      <family val="1"/>
      <charset val="2"/>
    </font>
    <font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color indexed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Symbol"/>
      <family val="1"/>
      <charset val="2"/>
    </font>
    <font>
      <sz val="10"/>
      <name val="Symbol"/>
      <family val="1"/>
      <charset val="2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12"/>
      <name val="Arial"/>
      <family val="2"/>
      <charset val="204"/>
    </font>
    <font>
      <sz val="10"/>
      <color indexed="21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Symbol"/>
      <family val="1"/>
      <charset val="2"/>
    </font>
    <font>
      <sz val="10"/>
      <color indexed="12"/>
      <name val="Arial"/>
      <family val="2"/>
      <charset val="204"/>
    </font>
    <font>
      <sz val="12"/>
      <color indexed="8"/>
      <name val="Symbol"/>
      <family val="1"/>
      <charset val="2"/>
    </font>
    <font>
      <vertAlign val="subscript"/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  <font>
      <b/>
      <sz val="14"/>
      <name val="Arial Cyr"/>
      <charset val="204"/>
    </font>
    <font>
      <sz val="9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4"/>
      <color indexed="58"/>
      <name val="Arial"/>
      <family val="2"/>
      <charset val="204"/>
    </font>
    <font>
      <b/>
      <sz val="14"/>
      <name val="Arial"/>
      <family val="2"/>
      <charset val="204"/>
    </font>
    <font>
      <sz val="8"/>
      <color indexed="10"/>
      <name val="Arial"/>
      <family val="2"/>
      <charset val="204"/>
    </font>
    <font>
      <sz val="14"/>
      <color indexed="12"/>
      <name val="Arial"/>
      <family val="2"/>
      <charset val="204"/>
    </font>
    <font>
      <b/>
      <sz val="16"/>
      <name val="Arial"/>
      <family val="2"/>
      <charset val="204"/>
    </font>
    <font>
      <vertAlign val="superscript"/>
      <sz val="14"/>
      <name val="Arial"/>
      <family val="2"/>
      <charset val="204"/>
    </font>
    <font>
      <sz val="10"/>
      <name val="Arial Cyr"/>
      <family val="2"/>
      <charset val="204"/>
    </font>
    <font>
      <vertAlign val="subscript"/>
      <sz val="12"/>
      <name val="Symbol"/>
      <family val="1"/>
      <charset val="2"/>
    </font>
    <font>
      <sz val="14"/>
      <name val="Arial Cyr"/>
      <family val="2"/>
      <charset val="204"/>
    </font>
    <font>
      <b/>
      <sz val="10"/>
      <color rgb="FFFF0000"/>
      <name val="Arial"/>
      <family val="2"/>
      <charset val="204"/>
    </font>
    <font>
      <sz val="12"/>
      <color rgb="FF002E15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3333FF"/>
      <name val="Arial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color rgb="FF00B050"/>
      <name val="Arial"/>
      <family val="2"/>
      <charset val="204"/>
    </font>
    <font>
      <b/>
      <sz val="14"/>
      <color rgb="FF00B0F0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6"/>
      <color theme="3" tint="-0.249977111117893"/>
      <name val="Arial"/>
      <family val="2"/>
      <charset val="204"/>
    </font>
    <font>
      <b/>
      <sz val="14"/>
      <color theme="3" tint="-0.249977111117893"/>
      <name val="Arial"/>
      <family val="2"/>
      <charset val="204"/>
    </font>
    <font>
      <b/>
      <sz val="16"/>
      <color theme="5"/>
      <name val="Arial"/>
      <family val="2"/>
      <charset val="204"/>
    </font>
    <font>
      <i/>
      <sz val="14"/>
      <name val="Arial"/>
      <family val="2"/>
      <charset val="204"/>
    </font>
    <font>
      <b/>
      <sz val="14"/>
      <color rgb="FF7030A0"/>
      <name val="Arial"/>
      <family val="2"/>
      <charset val="204"/>
    </font>
    <font>
      <b/>
      <sz val="14"/>
      <color rgb="FF943B1C"/>
      <name val="Arial"/>
      <family val="2"/>
      <charset val="204"/>
    </font>
    <font>
      <b/>
      <sz val="14"/>
      <color rgb="FF669900"/>
      <name val="Arial"/>
      <family val="2"/>
      <charset val="204"/>
    </font>
    <font>
      <b/>
      <sz val="14"/>
      <color rgb="FFFF3399"/>
      <name val="Arial"/>
      <family val="2"/>
      <charset val="204"/>
    </font>
    <font>
      <b/>
      <sz val="16"/>
      <color rgb="FF002060"/>
      <name val="Arial"/>
      <family val="2"/>
      <charset val="204"/>
    </font>
    <font>
      <b/>
      <sz val="14"/>
      <color rgb="FF002060"/>
      <name val="Arial Cyr"/>
      <charset val="204"/>
    </font>
    <font>
      <sz val="10"/>
      <color rgb="FF00206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FF000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12EE2C"/>
        <bgColor indexed="64"/>
      </patternFill>
    </fill>
    <fill>
      <patternFill patternType="solid">
        <fgColor rgb="FFFF9900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medium">
        <color rgb="FF3333FF"/>
      </left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 style="medium">
        <color rgb="FF3333FF"/>
      </left>
      <right style="mediumDashed">
        <color rgb="FFFF0000"/>
      </right>
      <top style="medium">
        <color rgb="FF3333FF"/>
      </top>
      <bottom style="thin">
        <color indexed="64"/>
      </bottom>
      <diagonal/>
    </border>
    <border>
      <left/>
      <right style="thin">
        <color indexed="64"/>
      </right>
      <top style="medium">
        <color rgb="FF3333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3333FF"/>
      </top>
      <bottom style="thin">
        <color indexed="64"/>
      </bottom>
      <diagonal/>
    </border>
    <border>
      <left style="thin">
        <color indexed="64"/>
      </left>
      <right style="medium">
        <color rgb="FF3333FF"/>
      </right>
      <top style="medium">
        <color rgb="FF3333FF"/>
      </top>
      <bottom style="thin">
        <color indexed="64"/>
      </bottom>
      <diagonal/>
    </border>
    <border>
      <left style="medium">
        <color rgb="FF3333FF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33FF"/>
      </right>
      <top style="thin">
        <color indexed="64"/>
      </top>
      <bottom style="thin">
        <color indexed="64"/>
      </bottom>
      <diagonal/>
    </border>
    <border>
      <left style="medium">
        <color rgb="FF3333FF"/>
      </left>
      <right style="mediumDashed">
        <color rgb="FFFF0000"/>
      </right>
      <top style="thin">
        <color indexed="64"/>
      </top>
      <bottom style="medium">
        <color rgb="FF3333FF"/>
      </bottom>
      <diagonal/>
    </border>
    <border>
      <left/>
      <right style="thin">
        <color indexed="64"/>
      </right>
      <top style="thin">
        <color indexed="64"/>
      </top>
      <bottom style="medium">
        <color rgb="FF3333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33FF"/>
      </bottom>
      <diagonal/>
    </border>
    <border>
      <left style="thin">
        <color indexed="64"/>
      </left>
      <right style="medium">
        <color rgb="FF3333FF"/>
      </right>
      <top style="thin">
        <color indexed="64"/>
      </top>
      <bottom style="medium">
        <color rgb="FF3333FF"/>
      </bottom>
      <diagonal/>
    </border>
    <border>
      <left/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 style="thin">
        <color indexed="64"/>
      </left>
      <right/>
      <top style="thin">
        <color indexed="64"/>
      </top>
      <bottom style="medium">
        <color rgb="FF3333FF"/>
      </bottom>
      <diagonal/>
    </border>
    <border>
      <left style="medium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3333FF"/>
      </left>
      <right/>
      <top style="medium">
        <color rgb="FF3333FF"/>
      </top>
      <bottom style="thin">
        <color indexed="64"/>
      </bottom>
      <diagonal/>
    </border>
    <border>
      <left style="medium">
        <color rgb="FF3333FF"/>
      </left>
      <right/>
      <top style="thin">
        <color indexed="64"/>
      </top>
      <bottom style="thin">
        <color indexed="64"/>
      </bottom>
      <diagonal/>
    </border>
    <border>
      <left style="medium">
        <color rgb="FF3333FF"/>
      </left>
      <right/>
      <top style="thin">
        <color indexed="64"/>
      </top>
      <bottom style="medium">
        <color rgb="FF3333FF"/>
      </bottom>
      <diagonal/>
    </border>
    <border>
      <left style="medium">
        <color rgb="FF00FFFF"/>
      </left>
      <right style="medium">
        <color rgb="FF00FFFF"/>
      </right>
      <top style="medium">
        <color rgb="FF00FFFF"/>
      </top>
      <bottom style="thin">
        <color indexed="64"/>
      </bottom>
      <diagonal/>
    </border>
    <border>
      <left style="medium">
        <color rgb="FF00FFFF"/>
      </left>
      <right style="medium">
        <color rgb="FF00FFFF"/>
      </right>
      <top style="thin">
        <color indexed="64"/>
      </top>
      <bottom style="thin">
        <color indexed="64"/>
      </bottom>
      <diagonal/>
    </border>
    <border>
      <left style="medium">
        <color rgb="FF00FFFF"/>
      </left>
      <right style="medium">
        <color rgb="FF00FFFF"/>
      </right>
      <top style="thin">
        <color indexed="64"/>
      </top>
      <bottom style="medium">
        <color rgb="FF00FFFF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FF"/>
      </right>
      <top style="thin">
        <color indexed="64"/>
      </top>
      <bottom/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mediumDashed">
        <color rgb="FFFF0000"/>
      </left>
      <right style="mediumDashed">
        <color rgb="FFFF0000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thin">
        <color indexed="64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medium">
        <color rgb="FF0000FF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Dashed">
        <color rgb="FFFF0000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Dashed">
        <color rgb="FFFF0000"/>
      </right>
      <top style="thin">
        <color theme="1"/>
      </top>
      <bottom style="thin">
        <color theme="1"/>
      </bottom>
      <diagonal/>
    </border>
    <border>
      <left style="mediumDashed">
        <color rgb="FFFF0000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Dashed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Dashed">
        <color rgb="FFFF0000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Dashed">
        <color rgb="FFFF000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theme="1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3333FF"/>
      </left>
      <right style="mediumDashed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3333FF"/>
      </right>
      <top style="thin">
        <color indexed="64"/>
      </top>
      <bottom/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mediumDashed">
        <color rgb="FFFF0000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 style="mediumDashed">
        <color rgb="FFFF0000"/>
      </left>
      <right style="thin">
        <color indexed="64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FF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FF"/>
      </left>
      <right style="thin">
        <color theme="1"/>
      </right>
      <top style="medium">
        <color rgb="FF0000FF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0000FF"/>
      </top>
      <bottom style="thin">
        <color theme="1"/>
      </bottom>
      <diagonal/>
    </border>
    <border>
      <left style="thin">
        <color theme="1"/>
      </left>
      <right style="medium">
        <color rgb="FF0000FF"/>
      </right>
      <top style="medium">
        <color rgb="FF0000FF"/>
      </top>
      <bottom style="thin">
        <color theme="1"/>
      </bottom>
      <diagonal/>
    </border>
    <border>
      <left style="medium">
        <color rgb="FF0000FF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FF"/>
      </right>
      <top style="thin">
        <color theme="1"/>
      </top>
      <bottom style="thin">
        <color theme="1"/>
      </bottom>
      <diagonal/>
    </border>
    <border>
      <left style="medium">
        <color rgb="FF0000FF"/>
      </left>
      <right style="thin">
        <color theme="1"/>
      </right>
      <top style="thin">
        <color theme="1"/>
      </top>
      <bottom style="medium">
        <color rgb="FF0000F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FF"/>
      </bottom>
      <diagonal/>
    </border>
    <border>
      <left style="thin">
        <color theme="1"/>
      </left>
      <right style="medium">
        <color rgb="FF0000FF"/>
      </right>
      <top style="thin">
        <color theme="1"/>
      </top>
      <bottom style="medium">
        <color rgb="FF0000F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2">
    <xf numFmtId="0" fontId="0" fillId="0" borderId="0"/>
    <xf numFmtId="0" fontId="37" fillId="0" borderId="0"/>
  </cellStyleXfs>
  <cellXfs count="859">
    <xf numFmtId="0" fontId="0" fillId="0" borderId="0" xfId="0"/>
    <xf numFmtId="0" fontId="8" fillId="0" borderId="0" xfId="0" applyNumberFormat="1" applyFont="1" applyFill="1" applyBorder="1" applyAlignment="1" applyProtection="1">
      <alignment horizontal="center" vertical="top" wrapText="1"/>
    </xf>
    <xf numFmtId="165" fontId="7" fillId="0" borderId="0" xfId="0" applyNumberFormat="1" applyFont="1" applyFill="1" applyBorder="1" applyAlignment="1" applyProtection="1">
      <alignment horizontal="center" vertical="top" wrapText="1"/>
    </xf>
    <xf numFmtId="166" fontId="7" fillId="0" borderId="0" xfId="0" applyNumberFormat="1" applyFont="1" applyFill="1" applyBorder="1" applyAlignment="1" applyProtection="1">
      <alignment horizontal="center" vertical="top" wrapText="1"/>
    </xf>
    <xf numFmtId="166" fontId="8" fillId="0" borderId="0" xfId="0" applyNumberFormat="1" applyFont="1" applyFill="1" applyBorder="1" applyAlignment="1" applyProtection="1">
      <alignment horizontal="center" vertical="top" wrapText="1"/>
    </xf>
    <xf numFmtId="11" fontId="9" fillId="2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167" fontId="9" fillId="0" borderId="0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2" fontId="23" fillId="2" borderId="4" xfId="0" applyNumberFormat="1" applyFont="1" applyFill="1" applyBorder="1" applyAlignment="1" applyProtection="1">
      <alignment horizontal="center" vertical="center"/>
      <protection hidden="1"/>
    </xf>
    <xf numFmtId="170" fontId="23" fillId="2" borderId="4" xfId="0" applyNumberFormat="1" applyFont="1" applyFill="1" applyBorder="1" applyAlignment="1" applyProtection="1">
      <alignment horizontal="center" vertical="center"/>
      <protection hidden="1"/>
    </xf>
    <xf numFmtId="168" fontId="23" fillId="2" borderId="4" xfId="0" applyNumberFormat="1" applyFont="1" applyFill="1" applyBorder="1" applyAlignment="1" applyProtection="1">
      <alignment horizontal="center"/>
      <protection hidden="1"/>
    </xf>
    <xf numFmtId="0" fontId="21" fillId="3" borderId="4" xfId="0" applyFont="1" applyFill="1" applyBorder="1" applyAlignment="1" applyProtection="1">
      <alignment horizontal="center" vertical="center"/>
      <protection locked="0" hidden="1"/>
    </xf>
    <xf numFmtId="0" fontId="21" fillId="3" borderId="5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 applyProtection="1">
      <alignment horizontal="center" vertical="top" wrapText="1"/>
      <protection hidden="1"/>
    </xf>
    <xf numFmtId="168" fontId="9" fillId="0" borderId="0" xfId="0" applyNumberFormat="1" applyFont="1" applyFill="1" applyBorder="1" applyAlignment="1" applyProtection="1">
      <alignment horizontal="center" vertical="top" wrapText="1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17" fillId="0" borderId="0" xfId="0" applyFont="1" applyFill="1" applyBorder="1" applyAlignment="1" applyProtection="1">
      <alignment horizontal="center" vertical="top"/>
      <protection hidden="1"/>
    </xf>
    <xf numFmtId="170" fontId="9" fillId="0" borderId="0" xfId="0" applyNumberFormat="1" applyFont="1" applyFill="1" applyBorder="1" applyAlignment="1" applyProtection="1">
      <alignment horizontal="center" vertical="top" wrapText="1"/>
      <protection hidden="1"/>
    </xf>
    <xf numFmtId="168" fontId="12" fillId="0" borderId="0" xfId="0" applyNumberFormat="1" applyFont="1" applyFill="1" applyBorder="1" applyAlignment="1" applyProtection="1">
      <alignment horizontal="center" vertical="top" wrapText="1"/>
      <protection hidden="1"/>
    </xf>
    <xf numFmtId="11" fontId="9" fillId="2" borderId="2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21" fillId="3" borderId="7" xfId="0" applyFont="1" applyFill="1" applyBorder="1" applyAlignment="1" applyProtection="1">
      <alignment horizontal="center" vertical="center"/>
      <protection locked="0" hidden="1"/>
    </xf>
    <xf numFmtId="2" fontId="2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1" fillId="2" borderId="9" xfId="0" applyFont="1" applyFill="1" applyBorder="1" applyAlignment="1" applyProtection="1">
      <alignment horizontal="center" vertical="center"/>
      <protection hidden="1"/>
    </xf>
    <xf numFmtId="0" fontId="21" fillId="2" borderId="7" xfId="0" applyFont="1" applyFill="1" applyBorder="1" applyAlignment="1" applyProtection="1">
      <alignment horizontal="center" vertical="center"/>
      <protection hidden="1"/>
    </xf>
    <xf numFmtId="0" fontId="21" fillId="2" borderId="10" xfId="0" applyFont="1" applyFill="1" applyBorder="1" applyAlignment="1" applyProtection="1">
      <alignment horizontal="center" vertical="center"/>
      <protection hidden="1"/>
    </xf>
    <xf numFmtId="0" fontId="21" fillId="2" borderId="4" xfId="0" applyFont="1" applyFill="1" applyBorder="1" applyAlignment="1" applyProtection="1">
      <alignment horizontal="center" vertical="center"/>
      <protection hidden="1"/>
    </xf>
    <xf numFmtId="0" fontId="21" fillId="2" borderId="11" xfId="0" applyFont="1" applyFill="1" applyBorder="1" applyAlignment="1" applyProtection="1">
      <alignment horizontal="center" vertical="center"/>
      <protection hidden="1"/>
    </xf>
    <xf numFmtId="0" fontId="21" fillId="2" borderId="5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67" fontId="23" fillId="2" borderId="4" xfId="0" applyNumberFormat="1" applyFont="1" applyFill="1" applyBorder="1" applyAlignment="1" applyProtection="1">
      <alignment horizontal="center"/>
      <protection hidden="1"/>
    </xf>
    <xf numFmtId="168" fontId="23" fillId="0" borderId="12" xfId="0" applyNumberFormat="1" applyFont="1" applyFill="1" applyBorder="1" applyAlignment="1" applyProtection="1">
      <alignment horizontal="center"/>
      <protection hidden="1"/>
    </xf>
    <xf numFmtId="168" fontId="25" fillId="0" borderId="0" xfId="0" applyNumberFormat="1" applyFont="1" applyFill="1" applyBorder="1" applyAlignment="1" applyProtection="1">
      <alignment horizontal="center" vertical="top" wrapText="1"/>
      <protection hidden="1"/>
    </xf>
    <xf numFmtId="0" fontId="28" fillId="0" borderId="0" xfId="0" applyFont="1" applyFill="1" applyBorder="1" applyAlignment="1" applyProtection="1">
      <alignment horizontal="center" vertical="top" wrapText="1"/>
      <protection hidden="1"/>
    </xf>
    <xf numFmtId="0" fontId="31" fillId="0" borderId="0" xfId="0" applyFont="1" applyFill="1" applyBorder="1" applyAlignment="1" applyProtection="1">
      <alignment horizontal="center" vertical="top" wrapText="1"/>
      <protection hidden="1"/>
    </xf>
    <xf numFmtId="169" fontId="9" fillId="0" borderId="0" xfId="0" applyNumberFormat="1" applyFont="1" applyFill="1" applyBorder="1" applyAlignment="1" applyProtection="1">
      <alignment horizontal="center" vertical="top" wrapText="1"/>
      <protection hidden="1"/>
    </xf>
    <xf numFmtId="0" fontId="29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protection hidden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11" fontId="9" fillId="0" borderId="0" xfId="0" applyNumberFormat="1" applyFont="1" applyFill="1" applyBorder="1" applyAlignment="1" applyProtection="1">
      <alignment horizontal="center" vertical="top" wrapText="1"/>
      <protection hidden="1"/>
    </xf>
    <xf numFmtId="0" fontId="34" fillId="0" borderId="0" xfId="0" applyFont="1" applyFill="1" applyBorder="1" applyAlignment="1" applyProtection="1">
      <alignment horizontal="center" vertical="top" wrapText="1"/>
      <protection hidden="1"/>
    </xf>
    <xf numFmtId="0" fontId="28" fillId="0" borderId="0" xfId="0" applyFont="1" applyFill="1" applyBorder="1" applyAlignment="1" applyProtection="1">
      <alignment horizontal="center" vertical="top"/>
      <protection hidden="1"/>
    </xf>
    <xf numFmtId="168" fontId="9" fillId="0" borderId="0" xfId="0" applyNumberFormat="1" applyFont="1" applyFill="1" applyBorder="1" applyAlignment="1" applyProtection="1">
      <alignment horizontal="center" vertical="top"/>
      <protection hidden="1"/>
    </xf>
    <xf numFmtId="0" fontId="31" fillId="0" borderId="0" xfId="0" applyFont="1" applyFill="1" applyBorder="1" applyAlignment="1" applyProtection="1">
      <alignment horizontal="center" vertical="top"/>
      <protection hidden="1"/>
    </xf>
    <xf numFmtId="167" fontId="9" fillId="0" borderId="0" xfId="0" applyNumberFormat="1" applyFont="1" applyFill="1" applyBorder="1" applyAlignment="1" applyProtection="1">
      <alignment horizontal="center" vertical="top"/>
      <protection hidden="1"/>
    </xf>
    <xf numFmtId="169" fontId="9" fillId="0" borderId="0" xfId="0" applyNumberFormat="1" applyFont="1" applyFill="1" applyBorder="1" applyAlignment="1" applyProtection="1">
      <alignment horizontal="center" vertical="top"/>
      <protection hidden="1"/>
    </xf>
    <xf numFmtId="170" fontId="9" fillId="0" borderId="0" xfId="0" applyNumberFormat="1" applyFont="1" applyFill="1" applyBorder="1" applyAlignment="1" applyProtection="1">
      <alignment horizontal="center" vertical="top"/>
      <protection hidden="1"/>
    </xf>
    <xf numFmtId="168" fontId="12" fillId="0" borderId="0" xfId="0" applyNumberFormat="1" applyFont="1" applyFill="1" applyBorder="1" applyAlignment="1" applyProtection="1">
      <alignment horizontal="center" vertical="top"/>
      <protection hidden="1"/>
    </xf>
    <xf numFmtId="0" fontId="15" fillId="0" borderId="0" xfId="0" applyFont="1" applyFill="1" applyBorder="1" applyAlignment="1" applyProtection="1">
      <alignment horizontal="center" vertical="top"/>
      <protection hidden="1"/>
    </xf>
    <xf numFmtId="168" fontId="25" fillId="0" borderId="0" xfId="0" applyNumberFormat="1" applyFont="1" applyFill="1" applyBorder="1" applyAlignment="1" applyProtection="1">
      <alignment horizontal="center" vertical="top"/>
      <protection hidden="1"/>
    </xf>
    <xf numFmtId="168" fontId="23" fillId="0" borderId="0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Protection="1">
      <protection hidden="1"/>
    </xf>
    <xf numFmtId="167" fontId="23" fillId="0" borderId="0" xfId="0" applyNumberFormat="1" applyFont="1" applyFill="1" applyBorder="1" applyAlignment="1" applyProtection="1">
      <alignment horizontal="center"/>
      <protection hidden="1"/>
    </xf>
    <xf numFmtId="2" fontId="23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Fill="1" applyBorder="1" applyAlignment="1" applyProtection="1">
      <alignment horizontal="center" vertical="center"/>
      <protection hidden="1"/>
    </xf>
    <xf numFmtId="170" fontId="23" fillId="0" borderId="0" xfId="0" applyNumberFormat="1" applyFont="1" applyFill="1" applyBorder="1" applyAlignment="1" applyProtection="1">
      <alignment horizontal="center" vertical="center"/>
      <protection hidden="1"/>
    </xf>
    <xf numFmtId="2" fontId="23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5" fillId="2" borderId="15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168" fontId="56" fillId="0" borderId="0" xfId="0" applyNumberFormat="1" applyFont="1" applyFill="1" applyBorder="1" applyAlignment="1" applyProtection="1">
      <alignment horizontal="center" vertical="top" wrapText="1"/>
      <protection hidden="1"/>
    </xf>
    <xf numFmtId="168" fontId="5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Protection="1">
      <protection hidden="1"/>
    </xf>
    <xf numFmtId="170" fontId="9" fillId="0" borderId="0" xfId="0" quotePrefix="1" applyNumberFormat="1" applyFont="1" applyFill="1" applyBorder="1" applyAlignment="1" applyProtection="1">
      <alignment horizontal="left" vertical="top"/>
      <protection hidden="1"/>
    </xf>
    <xf numFmtId="168" fontId="23" fillId="0" borderId="22" xfId="0" applyNumberFormat="1" applyFont="1" applyFill="1" applyBorder="1" applyAlignment="1" applyProtection="1">
      <alignment horizontal="center"/>
      <protection hidden="1"/>
    </xf>
    <xf numFmtId="0" fontId="23" fillId="3" borderId="23" xfId="0" applyFont="1" applyFill="1" applyBorder="1" applyAlignment="1" applyProtection="1">
      <alignment horizontal="center" vertical="center"/>
      <protection locked="0" hidden="1"/>
    </xf>
    <xf numFmtId="168" fontId="49" fillId="0" borderId="0" xfId="0" applyNumberFormat="1" applyFont="1" applyFill="1" applyBorder="1" applyAlignment="1" applyProtection="1">
      <alignment horizontal="center"/>
      <protection hidden="1"/>
    </xf>
    <xf numFmtId="167" fontId="49" fillId="0" borderId="0" xfId="0" applyNumberFormat="1" applyFont="1" applyFill="1" applyBorder="1" applyAlignment="1" applyProtection="1">
      <alignment horizontal="center"/>
      <protection hidden="1"/>
    </xf>
    <xf numFmtId="167" fontId="23" fillId="2" borderId="24" xfId="0" applyNumberFormat="1" applyFont="1" applyFill="1" applyBorder="1" applyAlignment="1" applyProtection="1">
      <alignment horizontal="center"/>
      <protection hidden="1"/>
    </xf>
    <xf numFmtId="0" fontId="23" fillId="3" borderId="22" xfId="0" applyFont="1" applyFill="1" applyBorder="1" applyAlignment="1" applyProtection="1">
      <alignment horizontal="center" vertical="center"/>
      <protection locked="0" hidden="1"/>
    </xf>
    <xf numFmtId="0" fontId="23" fillId="3" borderId="4" xfId="0" applyFont="1" applyFill="1" applyBorder="1" applyAlignment="1" applyProtection="1">
      <alignment horizontal="center" vertical="center"/>
      <protection locked="0" hidden="1"/>
    </xf>
    <xf numFmtId="0" fontId="0" fillId="0" borderId="0" xfId="0" applyProtection="1"/>
    <xf numFmtId="0" fontId="19" fillId="0" borderId="0" xfId="0" applyFont="1" applyFill="1" applyBorder="1" applyAlignment="1" applyProtection="1"/>
    <xf numFmtId="0" fontId="19" fillId="0" borderId="0" xfId="0" applyFont="1" applyFill="1" applyBorder="1" applyProtection="1"/>
    <xf numFmtId="0" fontId="23" fillId="0" borderId="0" xfId="0" applyFont="1" applyFill="1" applyBorder="1" applyAlignment="1" applyProtection="1"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7" fillId="0" borderId="0" xfId="0" quotePrefix="1" applyFont="1" applyFill="1" applyBorder="1" applyProtection="1"/>
    <xf numFmtId="0" fontId="3" fillId="0" borderId="0" xfId="0" applyFont="1" applyAlignment="1" applyProtection="1">
      <alignment horizontal="center"/>
      <protection hidden="1"/>
    </xf>
    <xf numFmtId="0" fontId="24" fillId="0" borderId="2" xfId="0" applyFont="1" applyBorder="1" applyAlignment="1" applyProtection="1">
      <alignment horizontal="center" vertical="top" wrapText="1"/>
      <protection hidden="1"/>
    </xf>
    <xf numFmtId="0" fontId="0" fillId="0" borderId="2" xfId="0" applyBorder="1" applyProtection="1">
      <protection hidden="1"/>
    </xf>
    <xf numFmtId="2" fontId="23" fillId="2" borderId="4" xfId="0" applyNumberFormat="1" applyFont="1" applyFill="1" applyBorder="1" applyAlignment="1" applyProtection="1">
      <alignment horizontal="center"/>
      <protection hidden="1"/>
    </xf>
    <xf numFmtId="2" fontId="23" fillId="0" borderId="22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1" fillId="3" borderId="34" xfId="0" applyFont="1" applyFill="1" applyBorder="1" applyAlignment="1" applyProtection="1">
      <alignment horizontal="center" vertical="center"/>
      <protection locked="0" hidden="1"/>
    </xf>
    <xf numFmtId="2" fontId="23" fillId="20" borderId="4" xfId="0" applyNumberFormat="1" applyFont="1" applyFill="1" applyBorder="1" applyAlignment="1" applyProtection="1">
      <alignment horizontal="center" vertical="center"/>
      <protection hidden="1"/>
    </xf>
    <xf numFmtId="168" fontId="23" fillId="20" borderId="4" xfId="0" applyNumberFormat="1" applyFont="1" applyFill="1" applyBorder="1" applyAlignment="1" applyProtection="1">
      <alignment horizontal="center"/>
      <protection hidden="1"/>
    </xf>
    <xf numFmtId="168" fontId="23" fillId="0" borderId="18" xfId="0" applyNumberFormat="1" applyFont="1" applyFill="1" applyBorder="1" applyAlignment="1" applyProtection="1">
      <alignment horizontal="center"/>
      <protection hidden="1"/>
    </xf>
    <xf numFmtId="0" fontId="61" fillId="0" borderId="0" xfId="0" quotePrefix="1" applyFont="1" applyAlignment="1" applyProtection="1">
      <alignment horizontal="center" vertical="center"/>
      <protection hidden="1"/>
    </xf>
    <xf numFmtId="49" fontId="11" fillId="9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62" fillId="2" borderId="2" xfId="0" applyFont="1" applyFill="1" applyBorder="1" applyAlignment="1" applyProtection="1">
      <alignment horizontal="center"/>
      <protection hidden="1"/>
    </xf>
    <xf numFmtId="1" fontId="62" fillId="2" borderId="2" xfId="0" applyNumberFormat="1" applyFont="1" applyFill="1" applyBorder="1" applyAlignment="1" applyProtection="1">
      <alignment horizontal="center"/>
      <protection hidden="1"/>
    </xf>
    <xf numFmtId="0" fontId="62" fillId="2" borderId="2" xfId="0" applyNumberFormat="1" applyFont="1" applyFill="1" applyBorder="1" applyAlignment="1" applyProtection="1">
      <alignment horizontal="center"/>
      <protection hidden="1"/>
    </xf>
    <xf numFmtId="169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7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8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7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8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2" fontId="23" fillId="20" borderId="7" xfId="0" applyNumberFormat="1" applyFont="1" applyFill="1" applyBorder="1" applyAlignment="1" applyProtection="1">
      <alignment horizontal="center" vertical="center"/>
      <protection hidden="1"/>
    </xf>
    <xf numFmtId="168" fontId="23" fillId="2" borderId="7" xfId="0" applyNumberFormat="1" applyFont="1" applyFill="1" applyBorder="1" applyAlignment="1" applyProtection="1">
      <alignment horizontal="center"/>
      <protection hidden="1"/>
    </xf>
    <xf numFmtId="2" fontId="23" fillId="2" borderId="7" xfId="0" applyNumberFormat="1" applyFont="1" applyFill="1" applyBorder="1" applyAlignment="1" applyProtection="1">
      <alignment horizontal="center"/>
      <protection hidden="1"/>
    </xf>
    <xf numFmtId="168" fontId="23" fillId="20" borderId="7" xfId="0" applyNumberFormat="1" applyFont="1" applyFill="1" applyBorder="1" applyAlignment="1" applyProtection="1">
      <alignment horizontal="center"/>
      <protection hidden="1"/>
    </xf>
    <xf numFmtId="0" fontId="64" fillId="2" borderId="2" xfId="0" applyNumberFormat="1" applyFont="1" applyFill="1" applyBorder="1" applyAlignment="1" applyProtection="1">
      <alignment horizontal="center"/>
      <protection hidden="1"/>
    </xf>
    <xf numFmtId="0" fontId="63" fillId="23" borderId="2" xfId="0" applyFont="1" applyFill="1" applyBorder="1" applyAlignment="1" applyProtection="1">
      <alignment horizontal="center" vertical="center"/>
      <protection hidden="1"/>
    </xf>
    <xf numFmtId="0" fontId="12" fillId="3" borderId="22" xfId="0" applyFont="1" applyFill="1" applyBorder="1" applyAlignment="1" applyProtection="1">
      <alignment horizontal="center" vertical="center"/>
      <protection locked="0" hidden="1"/>
    </xf>
    <xf numFmtId="0" fontId="22" fillId="20" borderId="37" xfId="0" applyFont="1" applyFill="1" applyBorder="1" applyAlignment="1" applyProtection="1">
      <alignment horizontal="center" vertical="center" wrapText="1"/>
      <protection hidden="1"/>
    </xf>
    <xf numFmtId="0" fontId="22" fillId="20" borderId="36" xfId="0" applyFont="1" applyFill="1" applyBorder="1" applyAlignment="1" applyProtection="1">
      <alignment horizontal="center" vertical="center" wrapText="1"/>
      <protection hidden="1"/>
    </xf>
    <xf numFmtId="0" fontId="19" fillId="27" borderId="122" xfId="0" applyFont="1" applyFill="1" applyBorder="1" applyProtection="1">
      <protection hidden="1"/>
    </xf>
    <xf numFmtId="0" fontId="19" fillId="27" borderId="123" xfId="0" applyFont="1" applyFill="1" applyBorder="1" applyProtection="1">
      <protection hidden="1"/>
    </xf>
    <xf numFmtId="0" fontId="19" fillId="27" borderId="122" xfId="0" applyFont="1" applyFill="1" applyBorder="1" applyAlignment="1" applyProtection="1">
      <alignment horizontal="center"/>
      <protection hidden="1"/>
    </xf>
    <xf numFmtId="0" fontId="23" fillId="0" borderId="4" xfId="0" applyFont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0" xfId="0" applyAlignment="1" applyProtection="1"/>
    <xf numFmtId="0" fontId="14" fillId="7" borderId="20" xfId="0" applyFont="1" applyFill="1" applyBorder="1" applyAlignment="1" applyProtection="1">
      <alignment horizontal="center" vertical="center"/>
    </xf>
    <xf numFmtId="0" fontId="14" fillId="7" borderId="20" xfId="0" applyFont="1" applyFill="1" applyBorder="1" applyAlignment="1" applyProtection="1">
      <alignment horizontal="right" vertical="center"/>
    </xf>
    <xf numFmtId="0" fontId="27" fillId="7" borderId="20" xfId="0" applyFont="1" applyFill="1" applyBorder="1" applyAlignment="1" applyProtection="1">
      <alignment horizontal="center" vertical="center"/>
    </xf>
    <xf numFmtId="0" fontId="27" fillId="22" borderId="0" xfId="0" applyFont="1" applyFill="1" applyAlignment="1" applyProtection="1">
      <alignment horizontal="center" vertical="center"/>
    </xf>
    <xf numFmtId="0" fontId="7" fillId="13" borderId="0" xfId="0" applyFont="1" applyFill="1" applyAlignment="1" applyProtection="1">
      <alignment horizontal="left" vertical="center"/>
    </xf>
    <xf numFmtId="0" fontId="0" fillId="13" borderId="0" xfId="0" applyFill="1" applyProtection="1"/>
    <xf numFmtId="0" fontId="27" fillId="14" borderId="0" xfId="0" applyFont="1" applyFill="1" applyBorder="1" applyAlignment="1" applyProtection="1">
      <alignment horizontal="center" vertical="center"/>
    </xf>
    <xf numFmtId="0" fontId="7" fillId="14" borderId="0" xfId="0" applyFont="1" applyFill="1" applyAlignment="1" applyProtection="1">
      <alignment horizontal="left" vertical="center"/>
    </xf>
    <xf numFmtId="0" fontId="0" fillId="14" borderId="0" xfId="0" applyFill="1" applyProtection="1"/>
    <xf numFmtId="0" fontId="14" fillId="0" borderId="6" xfId="0" applyFont="1" applyBorder="1" applyAlignment="1" applyProtection="1">
      <alignment horizontal="center"/>
    </xf>
    <xf numFmtId="0" fontId="1" fillId="0" borderId="13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52" fillId="0" borderId="0" xfId="0" applyFont="1" applyFill="1" applyBorder="1" applyProtection="1"/>
    <xf numFmtId="0" fontId="47" fillId="16" borderId="0" xfId="0" applyFont="1" applyFill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7" fillId="0" borderId="2" xfId="0" applyFont="1" applyBorder="1" applyProtection="1"/>
    <xf numFmtId="0" fontId="0" fillId="0" borderId="2" xfId="0" applyBorder="1" applyProtection="1"/>
    <xf numFmtId="0" fontId="7" fillId="0" borderId="2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27" fillId="0" borderId="15" xfId="0" applyFont="1" applyBorder="1" applyAlignment="1" applyProtection="1">
      <alignment horizontal="center" vertical="center"/>
    </xf>
    <xf numFmtId="0" fontId="24" fillId="9" borderId="1" xfId="0" applyFont="1" applyFill="1" applyBorder="1" applyAlignment="1" applyProtection="1">
      <alignment horizontal="center" vertical="center"/>
    </xf>
    <xf numFmtId="0" fontId="0" fillId="17" borderId="2" xfId="0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vertical="center"/>
    </xf>
    <xf numFmtId="0" fontId="41" fillId="16" borderId="0" xfId="0" applyFont="1" applyFill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/>
    </xf>
    <xf numFmtId="0" fontId="35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1" fontId="0" fillId="0" borderId="2" xfId="0" applyNumberFormat="1" applyBorder="1" applyAlignment="1" applyProtection="1">
      <alignment horizontal="center" vertical="center"/>
    </xf>
    <xf numFmtId="0" fontId="0" fillId="23" borderId="2" xfId="0" applyFill="1" applyBorder="1" applyAlignment="1" applyProtection="1">
      <alignment horizontal="center" vertical="center"/>
    </xf>
    <xf numFmtId="0" fontId="0" fillId="11" borderId="2" xfId="0" applyFill="1" applyBorder="1" applyAlignment="1" applyProtection="1">
      <alignment horizontal="center" vertical="center"/>
    </xf>
    <xf numFmtId="170" fontId="33" fillId="0" borderId="2" xfId="0" applyNumberFormat="1" applyFont="1" applyBorder="1" applyAlignment="1" applyProtection="1">
      <alignment horizontal="center" vertical="center"/>
    </xf>
    <xf numFmtId="0" fontId="33" fillId="15" borderId="2" xfId="0" applyFont="1" applyFill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/>
    <xf numFmtId="0" fontId="33" fillId="3" borderId="2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34" fillId="9" borderId="1" xfId="0" applyFont="1" applyFill="1" applyBorder="1" applyAlignment="1" applyProtection="1">
      <alignment horizontal="center" vertical="center"/>
    </xf>
    <xf numFmtId="0" fontId="14" fillId="0" borderId="10" xfId="0" applyFont="1" applyBorder="1" applyProtection="1"/>
    <xf numFmtId="0" fontId="14" fillId="3" borderId="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wrapText="1"/>
    </xf>
    <xf numFmtId="0" fontId="0" fillId="0" borderId="0" xfId="0" applyFill="1" applyProtection="1"/>
    <xf numFmtId="0" fontId="36" fillId="0" borderId="10" xfId="0" applyFont="1" applyBorder="1" applyProtection="1"/>
    <xf numFmtId="2" fontId="36" fillId="3" borderId="2" xfId="0" applyNumberFormat="1" applyFont="1" applyFill="1" applyBorder="1" applyAlignment="1" applyProtection="1">
      <alignment horizontal="center" vertical="center"/>
    </xf>
    <xf numFmtId="0" fontId="36" fillId="0" borderId="17" xfId="0" applyFont="1" applyBorder="1" applyAlignment="1" applyProtection="1">
      <alignment horizontal="center" vertical="center"/>
    </xf>
    <xf numFmtId="0" fontId="36" fillId="0" borderId="18" xfId="0" applyFont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36" fillId="0" borderId="19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1" fontId="36" fillId="3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7" fillId="0" borderId="21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</xf>
    <xf numFmtId="0" fontId="7" fillId="0" borderId="0" xfId="0" quotePrefix="1" applyFont="1" applyProtection="1"/>
    <xf numFmtId="0" fontId="0" fillId="0" borderId="0" xfId="0" quotePrefix="1" applyProtection="1"/>
    <xf numFmtId="0" fontId="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/>
    <xf numFmtId="0" fontId="19" fillId="27" borderId="122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0" applyFont="1" applyFill="1" applyBorder="1" applyProtection="1"/>
    <xf numFmtId="0" fontId="30" fillId="0" borderId="0" xfId="0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68" fontId="26" fillId="0" borderId="0" xfId="0" applyNumberFormat="1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vertical="center" textRotation="90" wrapText="1"/>
    </xf>
    <xf numFmtId="168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9" fillId="27" borderId="122" xfId="0" applyFont="1" applyFill="1" applyBorder="1" applyAlignment="1" applyProtection="1">
      <alignment horizontal="left" vertical="center" indent="3"/>
    </xf>
    <xf numFmtId="0" fontId="30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30" fillId="0" borderId="0" xfId="0" applyFont="1" applyFill="1" applyBorder="1" applyAlignment="1" applyProtection="1">
      <alignment horizontal="center" vertical="center"/>
    </xf>
    <xf numFmtId="0" fontId="0" fillId="0" borderId="0" xfId="0" quotePrefix="1" applyFill="1" applyBorder="1" applyAlignment="1" applyProtection="1"/>
    <xf numFmtId="0" fontId="0" fillId="0" borderId="0" xfId="0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18" fillId="8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/>
    </xf>
    <xf numFmtId="0" fontId="18" fillId="26" borderId="0" xfId="0" applyFont="1" applyFill="1" applyBorder="1" applyProtection="1"/>
    <xf numFmtId="0" fontId="39" fillId="0" borderId="0" xfId="0" quotePrefix="1" applyFont="1" applyFill="1" applyBorder="1" applyProtection="1"/>
    <xf numFmtId="0" fontId="0" fillId="0" borderId="2" xfId="0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0" fontId="17" fillId="0" borderId="2" xfId="0" applyFont="1" applyBorder="1" applyAlignment="1" applyProtection="1">
      <alignment horizontal="right"/>
    </xf>
    <xf numFmtId="0" fontId="37" fillId="5" borderId="2" xfId="0" applyFont="1" applyFill="1" applyBorder="1" applyAlignment="1" applyProtection="1">
      <alignment horizontal="center"/>
    </xf>
    <xf numFmtId="2" fontId="38" fillId="8" borderId="2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71" fontId="13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172" fontId="0" fillId="0" borderId="0" xfId="0" applyNumberFormat="1" applyFill="1" applyBorder="1" applyAlignment="1" applyProtection="1">
      <alignment horizontal="center"/>
    </xf>
    <xf numFmtId="0" fontId="37" fillId="0" borderId="2" xfId="0" applyFont="1" applyBorder="1" applyAlignment="1" applyProtection="1">
      <alignment horizontal="center"/>
    </xf>
    <xf numFmtId="171" fontId="37" fillId="0" borderId="2" xfId="0" applyNumberFormat="1" applyFont="1" applyBorder="1" applyAlignment="1" applyProtection="1">
      <alignment horizontal="center"/>
    </xf>
    <xf numFmtId="0" fontId="29" fillId="9" borderId="2" xfId="0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 vertical="center"/>
    </xf>
    <xf numFmtId="172" fontId="0" fillId="0" borderId="2" xfId="0" applyNumberFormat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right"/>
    </xf>
    <xf numFmtId="0" fontId="37" fillId="0" borderId="0" xfId="0" applyFont="1" applyFill="1" applyBorder="1" applyAlignment="1" applyProtection="1">
      <alignment horizontal="center"/>
    </xf>
    <xf numFmtId="2" fontId="38" fillId="0" borderId="0" xfId="0" applyNumberFormat="1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3" borderId="0" xfId="0" applyFill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protection hidden="1"/>
    </xf>
    <xf numFmtId="0" fontId="1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41" fillId="16" borderId="0" xfId="0" applyFont="1" applyFill="1" applyBorder="1" applyAlignment="1" applyProtection="1">
      <alignment horizontal="center"/>
      <protection hidden="1"/>
    </xf>
    <xf numFmtId="0" fontId="47" fillId="16" borderId="0" xfId="0" applyFont="1" applyFill="1" applyAlignment="1" applyProtection="1">
      <alignment vertical="center"/>
      <protection hidden="1"/>
    </xf>
    <xf numFmtId="0" fontId="14" fillId="7" borderId="20" xfId="0" applyFont="1" applyFill="1" applyBorder="1" applyAlignment="1" applyProtection="1">
      <alignment horizontal="center" vertical="center"/>
      <protection hidden="1"/>
    </xf>
    <xf numFmtId="0" fontId="14" fillId="7" borderId="20" xfId="0" applyFont="1" applyFill="1" applyBorder="1" applyAlignment="1" applyProtection="1">
      <alignment horizontal="right" vertical="center"/>
      <protection hidden="1"/>
    </xf>
    <xf numFmtId="0" fontId="27" fillId="7" borderId="20" xfId="0" applyFont="1" applyFill="1" applyBorder="1" applyAlignment="1" applyProtection="1">
      <alignment horizontal="center" vertical="center"/>
      <protection hidden="1"/>
    </xf>
    <xf numFmtId="0" fontId="27" fillId="22" borderId="0" xfId="0" applyFont="1" applyFill="1" applyAlignment="1" applyProtection="1">
      <alignment horizontal="center" vertical="center"/>
      <protection hidden="1"/>
    </xf>
    <xf numFmtId="0" fontId="7" fillId="13" borderId="0" xfId="0" applyFont="1" applyFill="1" applyAlignment="1" applyProtection="1">
      <alignment horizontal="left" vertical="center"/>
      <protection hidden="1"/>
    </xf>
    <xf numFmtId="0" fontId="0" fillId="13" borderId="0" xfId="0" applyFill="1" applyProtection="1">
      <protection hidden="1"/>
    </xf>
    <xf numFmtId="0" fontId="27" fillId="14" borderId="0" xfId="0" applyFont="1" applyFill="1" applyBorder="1" applyAlignment="1" applyProtection="1">
      <alignment horizontal="center" vertical="center"/>
      <protection hidden="1"/>
    </xf>
    <xf numFmtId="0" fontId="7" fillId="14" borderId="0" xfId="0" applyFont="1" applyFill="1" applyAlignment="1" applyProtection="1">
      <alignment horizontal="left" vertical="center"/>
      <protection hidden="1"/>
    </xf>
    <xf numFmtId="0" fontId="0" fillId="14" borderId="0" xfId="0" applyFill="1" applyProtection="1"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52" fillId="0" borderId="0" xfId="0" applyFont="1" applyFill="1" applyBorder="1" applyProtection="1">
      <protection hidden="1"/>
    </xf>
    <xf numFmtId="0" fontId="47" fillId="16" borderId="0" xfId="0" applyFont="1" applyFill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7" fillId="0" borderId="2" xfId="0" applyFont="1" applyBorder="1" applyProtection="1"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0" fontId="24" fillId="9" borderId="1" xfId="0" applyFont="1" applyFill="1" applyBorder="1" applyAlignment="1" applyProtection="1">
      <alignment horizontal="center" vertical="center"/>
      <protection hidden="1"/>
    </xf>
    <xf numFmtId="0" fontId="0" fillId="17" borderId="2" xfId="0" applyFill="1" applyBorder="1" applyAlignment="1" applyProtection="1">
      <alignment horizontal="center" vertical="center"/>
      <protection hidden="1"/>
    </xf>
    <xf numFmtId="0" fontId="77" fillId="0" borderId="0" xfId="0" applyFont="1" applyFill="1" applyBorder="1" applyAlignment="1" applyProtection="1">
      <alignment vertical="center"/>
      <protection hidden="1"/>
    </xf>
    <xf numFmtId="0" fontId="41" fillId="16" borderId="0" xfId="0" applyFont="1" applyFill="1" applyBorder="1" applyAlignment="1" applyProtection="1">
      <alignment horizontal="left" vertical="center"/>
      <protection hidden="1"/>
    </xf>
    <xf numFmtId="0" fontId="14" fillId="0" borderId="9" xfId="0" applyFont="1" applyBorder="1" applyAlignment="1" applyProtection="1">
      <alignment horizontal="left"/>
      <protection hidden="1"/>
    </xf>
    <xf numFmtId="0" fontId="35" fillId="0" borderId="2" xfId="0" applyFont="1" applyFill="1" applyBorder="1" applyAlignment="1" applyProtection="1">
      <alignment horizontal="center" vertical="center"/>
      <protection hidden="1"/>
    </xf>
    <xf numFmtId="11" fontId="0" fillId="0" borderId="2" xfId="0" applyNumberFormat="1" applyBorder="1" applyAlignment="1" applyProtection="1">
      <alignment horizontal="center" vertical="center"/>
      <protection hidden="1"/>
    </xf>
    <xf numFmtId="0" fontId="0" fillId="23" borderId="2" xfId="0" applyFill="1" applyBorder="1" applyAlignment="1" applyProtection="1">
      <alignment horizontal="center" vertical="center"/>
      <protection hidden="1"/>
    </xf>
    <xf numFmtId="0" fontId="0" fillId="11" borderId="2" xfId="0" applyFill="1" applyBorder="1" applyAlignment="1" applyProtection="1">
      <alignment horizontal="center" vertical="center"/>
      <protection hidden="1"/>
    </xf>
    <xf numFmtId="170" fontId="33" fillId="0" borderId="2" xfId="0" applyNumberFormat="1" applyFont="1" applyBorder="1" applyAlignment="1" applyProtection="1">
      <alignment horizontal="center" vertical="center"/>
      <protection hidden="1"/>
    </xf>
    <xf numFmtId="0" fontId="33" fillId="15" borderId="2" xfId="0" applyFont="1" applyFill="1" applyBorder="1" applyAlignment="1" applyProtection="1">
      <alignment horizontal="center" vertical="center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33" fillId="0" borderId="15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protection hidden="1"/>
    </xf>
    <xf numFmtId="0" fontId="33" fillId="3" borderId="2" xfId="0" applyFont="1" applyFill="1" applyBorder="1" applyAlignment="1" applyProtection="1">
      <alignment horizontal="center" vertical="center"/>
      <protection hidden="1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34" fillId="9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14" fillId="0" borderId="10" xfId="0" applyFont="1" applyBorder="1" applyProtection="1">
      <protection hidden="1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6" fillId="0" borderId="10" xfId="0" applyFont="1" applyBorder="1" applyProtection="1">
      <protection hidden="1"/>
    </xf>
    <xf numFmtId="2" fontId="36" fillId="3" borderId="2" xfId="0" applyNumberFormat="1" applyFont="1" applyFill="1" applyBorder="1" applyAlignment="1" applyProtection="1">
      <alignment horizontal="center" vertical="center"/>
      <protection hidden="1"/>
    </xf>
    <xf numFmtId="0" fontId="36" fillId="0" borderId="17" xfId="0" applyFont="1" applyBorder="1" applyAlignment="1" applyProtection="1">
      <alignment horizontal="center" vertical="center"/>
      <protection hidden="1"/>
    </xf>
    <xf numFmtId="0" fontId="36" fillId="0" borderId="18" xfId="0" applyFont="1" applyBorder="1" applyAlignment="1" applyProtection="1">
      <alignment horizontal="center" vertical="center"/>
      <protection hidden="1"/>
    </xf>
    <xf numFmtId="0" fontId="48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11" fontId="36" fillId="3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9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7" fillId="0" borderId="0" xfId="0" quotePrefix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23" borderId="0" xfId="0" applyFill="1" applyProtection="1">
      <protection hidden="1"/>
    </xf>
    <xf numFmtId="0" fontId="55" fillId="13" borderId="0" xfId="0" applyFont="1" applyFill="1" applyAlignment="1" applyProtection="1">
      <alignment horizontal="center" vertical="center"/>
      <protection hidden="1"/>
    </xf>
    <xf numFmtId="0" fontId="19" fillId="0" borderId="22" xfId="0" applyFont="1" applyFill="1" applyBorder="1" applyAlignment="1" applyProtection="1">
      <alignment horizontal="center"/>
      <protection hidden="1"/>
    </xf>
    <xf numFmtId="0" fontId="19" fillId="10" borderId="36" xfId="0" applyFont="1" applyFill="1" applyBorder="1" applyAlignment="1" applyProtection="1">
      <alignment horizontal="center"/>
      <protection hidden="1"/>
    </xf>
    <xf numFmtId="0" fontId="23" fillId="0" borderId="22" xfId="0" applyFont="1" applyFill="1" applyBorder="1" applyAlignment="1" applyProtection="1">
      <alignment horizontal="center" vertical="center"/>
      <protection hidden="1"/>
    </xf>
    <xf numFmtId="0" fontId="23" fillId="0" borderId="30" xfId="0" applyFont="1" applyFill="1" applyBorder="1" applyAlignment="1" applyProtection="1">
      <alignment vertical="center"/>
      <protection hidden="1"/>
    </xf>
    <xf numFmtId="0" fontId="0" fillId="0" borderId="30" xfId="0" applyFill="1" applyBorder="1" applyAlignment="1" applyProtection="1">
      <alignment vertical="center"/>
      <protection hidden="1"/>
    </xf>
    <xf numFmtId="0" fontId="18" fillId="0" borderId="0" xfId="0" applyFont="1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30" fillId="0" borderId="0" xfId="0" applyFont="1" applyProtection="1"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168" fontId="0" fillId="0" borderId="0" xfId="0" applyNumberForma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 wrapText="1"/>
      <protection hidden="1"/>
    </xf>
    <xf numFmtId="0" fontId="18" fillId="0" borderId="3" xfId="0" applyFont="1" applyBorder="1" applyProtection="1">
      <protection hidden="1"/>
    </xf>
    <xf numFmtId="0" fontId="18" fillId="0" borderId="29" xfId="0" applyFont="1" applyBorder="1" applyProtection="1">
      <protection hidden="1"/>
    </xf>
    <xf numFmtId="0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22" xfId="0" applyFill="1" applyBorder="1" applyProtection="1">
      <protection hidden="1"/>
    </xf>
    <xf numFmtId="0" fontId="18" fillId="0" borderId="3" xfId="0" applyFont="1" applyBorder="1" applyAlignment="1" applyProtection="1">
      <alignment vertical="center"/>
      <protection hidden="1"/>
    </xf>
    <xf numFmtId="0" fontId="18" fillId="0" borderId="29" xfId="0" applyFont="1" applyBorder="1" applyAlignment="1" applyProtection="1">
      <alignment vertical="center"/>
      <protection hidden="1"/>
    </xf>
    <xf numFmtId="0" fontId="18" fillId="0" borderId="0" xfId="0" applyFont="1" applyBorder="1" applyProtection="1">
      <protection hidden="1"/>
    </xf>
    <xf numFmtId="0" fontId="0" fillId="0" borderId="0" xfId="0" applyFill="1" applyProtection="1"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0" fillId="0" borderId="0" xfId="0" quotePrefix="1" applyFill="1" applyBorder="1" applyAlignment="1" applyProtection="1"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7" fillId="0" borderId="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27" fillId="0" borderId="0" xfId="0" applyFont="1" applyProtection="1"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30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17" fillId="0" borderId="2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168" fontId="26" fillId="0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Fill="1" applyBorder="1" applyAlignment="1" applyProtection="1">
      <alignment horizontal="center" vertical="center" textRotation="90" wrapText="1"/>
      <protection hidden="1"/>
    </xf>
    <xf numFmtId="168" fontId="0" fillId="0" borderId="0" xfId="0" applyNumberFormat="1" applyFill="1" applyBorder="1" applyAlignment="1" applyProtection="1">
      <alignment horizontal="center" vertical="center" textRotation="90" wrapText="1"/>
      <protection hidden="1"/>
    </xf>
    <xf numFmtId="0" fontId="37" fillId="5" borderId="2" xfId="0" applyFont="1" applyFill="1" applyBorder="1" applyAlignment="1" applyProtection="1">
      <alignment horizontal="center"/>
      <protection hidden="1"/>
    </xf>
    <xf numFmtId="172" fontId="37" fillId="5" borderId="2" xfId="0" applyNumberFormat="1" applyFont="1" applyFill="1" applyBorder="1" applyAlignment="1" applyProtection="1">
      <alignment horizontal="center"/>
      <protection hidden="1"/>
    </xf>
    <xf numFmtId="2" fontId="38" fillId="8" borderId="2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wrapText="1"/>
      <protection hidden="1"/>
    </xf>
    <xf numFmtId="0" fontId="37" fillId="0" borderId="2" xfId="0" applyFont="1" applyBorder="1" applyAlignment="1" applyProtection="1">
      <alignment horizontal="center"/>
      <protection hidden="1"/>
    </xf>
    <xf numFmtId="171" fontId="37" fillId="0" borderId="2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9" fillId="9" borderId="2" xfId="0" applyFont="1" applyFill="1" applyBorder="1" applyAlignment="1" applyProtection="1">
      <alignment horizontal="center"/>
      <protection hidden="1"/>
    </xf>
    <xf numFmtId="172" fontId="0" fillId="0" borderId="2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9" borderId="2" xfId="0" applyFill="1" applyBorder="1" applyAlignment="1" applyProtection="1">
      <alignment horizontal="center"/>
      <protection hidden="1"/>
    </xf>
    <xf numFmtId="0" fontId="0" fillId="9" borderId="2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20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0" fillId="0" borderId="29" xfId="0" applyFill="1" applyBorder="1" applyProtection="1">
      <protection hidden="1"/>
    </xf>
    <xf numFmtId="0" fontId="0" fillId="0" borderId="29" xfId="0" applyFill="1" applyBorder="1" applyAlignment="1" applyProtection="1">
      <alignment horizontal="center" vertical="center"/>
      <protection hidden="1"/>
    </xf>
    <xf numFmtId="11" fontId="0" fillId="0" borderId="29" xfId="0" applyNumberFormat="1" applyFill="1" applyBorder="1" applyAlignment="1" applyProtection="1">
      <alignment horizontal="center" vertical="center"/>
      <protection hidden="1"/>
    </xf>
    <xf numFmtId="0" fontId="0" fillId="23" borderId="29" xfId="0" applyFill="1" applyBorder="1" applyAlignment="1" applyProtection="1">
      <alignment horizontal="center" vertical="center"/>
      <protection hidden="1"/>
    </xf>
    <xf numFmtId="170" fontId="33" fillId="0" borderId="29" xfId="0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Fill="1" applyBorder="1" applyAlignment="1" applyProtection="1">
      <alignment horizontal="center" vertical="center"/>
      <protection hidden="1"/>
    </xf>
    <xf numFmtId="0" fontId="0" fillId="0" borderId="29" xfId="0" applyFill="1" applyBorder="1" applyAlignment="1" applyProtection="1">
      <protection hidden="1"/>
    </xf>
    <xf numFmtId="0" fontId="0" fillId="0" borderId="20" xfId="0" applyFill="1" applyBorder="1" applyProtection="1">
      <protection hidden="1"/>
    </xf>
    <xf numFmtId="49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27" xfId="0" applyFont="1" applyBorder="1" applyProtection="1">
      <protection hidden="1"/>
    </xf>
    <xf numFmtId="0" fontId="18" fillId="0" borderId="20" xfId="0" applyFont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37" fillId="5" borderId="2" xfId="0" applyFont="1" applyFill="1" applyBorder="1" applyAlignment="1" applyProtection="1">
      <alignment horizontal="center" vertical="center"/>
      <protection hidden="1"/>
    </xf>
    <xf numFmtId="172" fontId="37" fillId="5" borderId="2" xfId="0" applyNumberFormat="1" applyFont="1" applyFill="1" applyBorder="1" applyAlignment="1" applyProtection="1">
      <alignment horizontal="center" vertical="center"/>
      <protection hidden="1"/>
    </xf>
    <xf numFmtId="2" fontId="38" fillId="8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textRotation="90"/>
      <protection hidden="1"/>
    </xf>
    <xf numFmtId="168" fontId="0" fillId="0" borderId="0" xfId="0" applyNumberFormat="1" applyFill="1" applyBorder="1" applyAlignment="1" applyProtection="1">
      <alignment horizontal="center" vertical="center" textRotation="90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49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 textRotation="90"/>
      <protection hidden="1"/>
    </xf>
    <xf numFmtId="0" fontId="19" fillId="27" borderId="122" xfId="0" applyFont="1" applyFill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19" fillId="27" borderId="123" xfId="0" applyFont="1" applyFill="1" applyBorder="1" applyAlignment="1" applyProtection="1">
      <alignment vertical="center"/>
      <protection hidden="1"/>
    </xf>
    <xf numFmtId="0" fontId="41" fillId="16" borderId="0" xfId="0" applyFont="1" applyFill="1" applyBorder="1" applyAlignment="1" applyProtection="1">
      <protection hidden="1"/>
    </xf>
    <xf numFmtId="0" fontId="41" fillId="16" borderId="0" xfId="0" applyFont="1" applyFill="1" applyBorder="1" applyAlignment="1" applyProtection="1">
      <alignment vertical="center"/>
      <protection hidden="1"/>
    </xf>
    <xf numFmtId="0" fontId="19" fillId="0" borderId="12" xfId="0" applyFont="1" applyFill="1" applyBorder="1" applyAlignment="1" applyProtection="1">
      <alignment horizontal="center"/>
      <protection hidden="1"/>
    </xf>
    <xf numFmtId="0" fontId="23" fillId="0" borderId="12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  <protection hidden="1"/>
    </xf>
    <xf numFmtId="0" fontId="50" fillId="0" borderId="0" xfId="0" applyFont="1" applyFill="1" applyBorder="1" applyAlignment="1" applyProtection="1">
      <protection hidden="1"/>
    </xf>
    <xf numFmtId="0" fontId="52" fillId="0" borderId="19" xfId="0" applyFont="1" applyFill="1" applyBorder="1" applyAlignment="1" applyProtection="1">
      <alignment vertical="center"/>
      <protection hidden="1"/>
    </xf>
    <xf numFmtId="0" fontId="52" fillId="0" borderId="0" xfId="0" applyFont="1" applyFill="1" applyBorder="1" applyAlignment="1" applyProtection="1">
      <alignment vertical="center"/>
      <protection hidden="1"/>
    </xf>
    <xf numFmtId="0" fontId="41" fillId="0" borderId="19" xfId="0" applyFont="1" applyFill="1" applyBorder="1" applyAlignment="1" applyProtection="1">
      <alignment vertical="center"/>
      <protection hidden="1"/>
    </xf>
    <xf numFmtId="0" fontId="41" fillId="0" borderId="0" xfId="0" applyFon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protection hidden="1"/>
    </xf>
    <xf numFmtId="0" fontId="23" fillId="0" borderId="12" xfId="0" applyFont="1" applyFill="1" applyBorder="1" applyAlignment="1" applyProtection="1">
      <alignment horizontal="center"/>
      <protection hidden="1"/>
    </xf>
    <xf numFmtId="0" fontId="56" fillId="0" borderId="0" xfId="0" applyFont="1" applyAlignment="1" applyProtection="1">
      <alignment horizontal="center" vertical="center"/>
      <protection hidden="1"/>
    </xf>
    <xf numFmtId="0" fontId="0" fillId="0" borderId="12" xfId="0" applyFill="1" applyBorder="1" applyProtection="1">
      <protection hidden="1"/>
    </xf>
    <xf numFmtId="0" fontId="56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 applyProtection="1">
      <protection hidden="1"/>
    </xf>
    <xf numFmtId="0" fontId="36" fillId="0" borderId="0" xfId="0" applyFont="1" applyFill="1" applyBorder="1" applyProtection="1">
      <protection hidden="1"/>
    </xf>
    <xf numFmtId="2" fontId="36" fillId="0" borderId="0" xfId="0" applyNumberFormat="1" applyFont="1" applyFill="1" applyBorder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center" vertical="center"/>
      <protection hidden="1"/>
    </xf>
    <xf numFmtId="11" fontId="36" fillId="0" borderId="0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 applyProtection="1">
      <alignment horizontal="center"/>
      <protection hidden="1"/>
    </xf>
    <xf numFmtId="0" fontId="36" fillId="0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vertical="center" textRotation="90" wrapText="1"/>
      <protection hidden="1"/>
    </xf>
    <xf numFmtId="0" fontId="55" fillId="0" borderId="0" xfId="0" applyFont="1" applyFill="1" applyBorder="1" applyAlignment="1" applyProtection="1">
      <protection hidden="1"/>
    </xf>
    <xf numFmtId="11" fontId="0" fillId="0" borderId="0" xfId="0" applyNumberFormat="1" applyFill="1" applyBorder="1" applyAlignment="1" applyProtection="1">
      <alignment horizontal="center" vertical="center"/>
      <protection hidden="1"/>
    </xf>
    <xf numFmtId="11" fontId="0" fillId="0" borderId="0" xfId="0" applyNumberFormat="1" applyFill="1" applyAlignment="1" applyProtection="1">
      <alignment horizontal="center" vertical="center"/>
      <protection hidden="1"/>
    </xf>
    <xf numFmtId="0" fontId="57" fillId="0" borderId="0" xfId="0" applyFont="1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58" fillId="0" borderId="0" xfId="0" applyFont="1" applyFill="1" applyAlignment="1" applyProtection="1">
      <alignment horizontal="center" vertical="center"/>
      <protection hidden="1"/>
    </xf>
    <xf numFmtId="0" fontId="57" fillId="0" borderId="0" xfId="0" applyFont="1" applyFill="1" applyAlignment="1" applyProtection="1">
      <alignment horizontal="center" vertical="center"/>
      <protection hidden="1"/>
    </xf>
    <xf numFmtId="168" fontId="0" fillId="0" borderId="0" xfId="0" applyNumberFormat="1" applyFill="1" applyAlignment="1" applyProtection="1">
      <alignment horizontal="center" vertical="center"/>
      <protection hidden="1"/>
    </xf>
    <xf numFmtId="168" fontId="5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protection hidden="1"/>
    </xf>
    <xf numFmtId="0" fontId="45" fillId="0" borderId="0" xfId="0" applyFont="1" applyFill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45" fillId="0" borderId="0" xfId="0" applyFont="1" applyBorder="1" applyAlignment="1" applyProtection="1">
      <alignment horizontal="center" vertical="center" wrapText="1"/>
      <protection hidden="1"/>
    </xf>
    <xf numFmtId="0" fontId="45" fillId="0" borderId="0" xfId="0" applyFont="1" applyBorder="1" applyAlignment="1" applyProtection="1">
      <alignment horizontal="center" vertical="center"/>
      <protection hidden="1"/>
    </xf>
    <xf numFmtId="0" fontId="60" fillId="0" borderId="0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vertical="center" wrapText="1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58" fillId="0" borderId="45" xfId="0" applyFont="1" applyBorder="1" applyProtection="1">
      <protection hidden="1"/>
    </xf>
    <xf numFmtId="0" fontId="30" fillId="0" borderId="60" xfId="0" applyFont="1" applyBorder="1" applyAlignment="1" applyProtection="1">
      <alignment horizontal="center"/>
      <protection hidden="1"/>
    </xf>
    <xf numFmtId="0" fontId="39" fillId="0" borderId="0" xfId="0" quotePrefix="1" applyFont="1" applyFill="1" applyBorder="1" applyProtection="1">
      <protection hidden="1"/>
    </xf>
    <xf numFmtId="0" fontId="24" fillId="0" borderId="20" xfId="0" applyFont="1" applyBorder="1" applyAlignment="1" applyProtection="1">
      <protection hidden="1"/>
    </xf>
    <xf numFmtId="0" fontId="0" fillId="3" borderId="16" xfId="0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0" fillId="4" borderId="61" xfId="0" applyFill="1" applyBorder="1" applyAlignment="1" applyProtection="1">
      <alignment horizontal="center"/>
      <protection hidden="1"/>
    </xf>
    <xf numFmtId="0" fontId="0" fillId="4" borderId="62" xfId="0" applyNumberFormat="1" applyFill="1" applyBorder="1" applyAlignment="1" applyProtection="1">
      <alignment horizontal="center"/>
      <protection hidden="1"/>
    </xf>
    <xf numFmtId="0" fontId="0" fillId="4" borderId="63" xfId="0" applyNumberFormat="1" applyFill="1" applyBorder="1" applyAlignment="1" applyProtection="1">
      <alignment horizontal="center"/>
      <protection hidden="1"/>
    </xf>
    <xf numFmtId="0" fontId="0" fillId="4" borderId="64" xfId="0" applyNumberFormat="1" applyFill="1" applyBorder="1" applyAlignment="1" applyProtection="1">
      <alignment horizontal="center"/>
      <protection hidden="1"/>
    </xf>
    <xf numFmtId="0" fontId="0" fillId="4" borderId="65" xfId="0" applyFill="1" applyBorder="1" applyAlignment="1" applyProtection="1">
      <alignment horizontal="center"/>
      <protection hidden="1"/>
    </xf>
    <xf numFmtId="0" fontId="0" fillId="4" borderId="15" xfId="0" applyNumberFormat="1" applyFill="1" applyBorder="1" applyAlignment="1" applyProtection="1">
      <alignment horizontal="center"/>
      <protection hidden="1"/>
    </xf>
    <xf numFmtId="0" fontId="0" fillId="4" borderId="2" xfId="0" applyNumberFormat="1" applyFill="1" applyBorder="1" applyAlignment="1" applyProtection="1">
      <alignment horizontal="center"/>
      <protection hidden="1"/>
    </xf>
    <xf numFmtId="0" fontId="0" fillId="4" borderId="66" xfId="0" applyNumberFormat="1" applyFill="1" applyBorder="1" applyAlignment="1" applyProtection="1">
      <alignment horizontal="center"/>
      <protection hidden="1"/>
    </xf>
    <xf numFmtId="0" fontId="58" fillId="0" borderId="80" xfId="0" applyFont="1" applyBorder="1" applyProtection="1">
      <protection hidden="1"/>
    </xf>
    <xf numFmtId="0" fontId="58" fillId="0" borderId="81" xfId="0" applyFont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5" fillId="9" borderId="31" xfId="0" applyFont="1" applyFill="1" applyBorder="1" applyAlignment="1" applyProtection="1">
      <alignment horizontal="center" vertical="center" wrapText="1"/>
      <protection hidden="1"/>
    </xf>
    <xf numFmtId="0" fontId="5" fillId="9" borderId="32" xfId="0" applyFont="1" applyFill="1" applyBorder="1" applyAlignment="1" applyProtection="1">
      <alignment horizontal="center" vertical="center" wrapText="1"/>
      <protection hidden="1"/>
    </xf>
    <xf numFmtId="0" fontId="6" fillId="9" borderId="32" xfId="0" applyFont="1" applyFill="1" applyBorder="1" applyAlignment="1" applyProtection="1">
      <alignment horizontal="center" vertical="center" wrapText="1"/>
      <protection hidden="1"/>
    </xf>
    <xf numFmtId="0" fontId="5" fillId="9" borderId="33" xfId="0" applyFont="1" applyFill="1" applyBorder="1" applyAlignment="1" applyProtection="1">
      <alignment horizontal="center" vertical="center" wrapText="1"/>
      <protection hidden="1"/>
    </xf>
    <xf numFmtId="0" fontId="58" fillId="11" borderId="20" xfId="0" applyFont="1" applyFill="1" applyBorder="1" applyAlignment="1" applyProtection="1">
      <alignment horizontal="center" vertical="center"/>
      <protection hidden="1"/>
    </xf>
    <xf numFmtId="172" fontId="0" fillId="0" borderId="0" xfId="0" applyNumberFormat="1" applyFill="1" applyBorder="1" applyAlignment="1" applyProtection="1">
      <alignment horizontal="center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7" fillId="0" borderId="80" xfId="0" applyNumberFormat="1" applyFont="1" applyFill="1" applyBorder="1" applyAlignment="1" applyProtection="1">
      <alignment horizontal="center" vertical="center"/>
      <protection hidden="1"/>
    </xf>
    <xf numFmtId="0" fontId="27" fillId="0" borderId="96" xfId="0" applyNumberFormat="1" applyFont="1" applyFill="1" applyBorder="1" applyAlignment="1" applyProtection="1">
      <alignment horizontal="center" vertical="center"/>
      <protection hidden="1"/>
    </xf>
    <xf numFmtId="0" fontId="7" fillId="16" borderId="97" xfId="0" applyNumberFormat="1" applyFont="1" applyFill="1" applyBorder="1" applyAlignment="1" applyProtection="1">
      <alignment horizontal="center" vertical="center"/>
      <protection hidden="1"/>
    </xf>
    <xf numFmtId="0" fontId="1" fillId="16" borderId="98" xfId="0" applyNumberFormat="1" applyFont="1" applyFill="1" applyBorder="1" applyAlignment="1" applyProtection="1">
      <alignment horizontal="center" vertical="center"/>
      <protection hidden="1"/>
    </xf>
    <xf numFmtId="0" fontId="1" fillId="16" borderId="128" xfId="0" applyNumberFormat="1" applyFont="1" applyFill="1" applyBorder="1" applyAlignment="1" applyProtection="1">
      <alignment horizontal="center" vertical="center"/>
      <protection hidden="1"/>
    </xf>
    <xf numFmtId="0" fontId="7" fillId="16" borderId="129" xfId="0" applyNumberFormat="1" applyFont="1" applyFill="1" applyBorder="1" applyAlignment="1" applyProtection="1">
      <alignment horizontal="center" vertical="center"/>
      <protection hidden="1"/>
    </xf>
    <xf numFmtId="0" fontId="0" fillId="16" borderId="130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7" fillId="0" borderId="97" xfId="0" applyNumberFormat="1" applyFont="1" applyFill="1" applyBorder="1" applyAlignment="1" applyProtection="1">
      <alignment horizontal="center" vertical="center"/>
      <protection hidden="1"/>
    </xf>
    <xf numFmtId="0" fontId="7" fillId="0" borderId="98" xfId="0" applyNumberFormat="1" applyFont="1" applyFill="1" applyBorder="1" applyAlignment="1" applyProtection="1">
      <alignment horizontal="center" vertical="center"/>
      <protection hidden="1"/>
    </xf>
    <xf numFmtId="0" fontId="7" fillId="0" borderId="94" xfId="0" applyNumberFormat="1" applyFont="1" applyFill="1" applyBorder="1" applyAlignment="1" applyProtection="1">
      <alignment horizontal="center" vertical="center"/>
      <protection hidden="1"/>
    </xf>
    <xf numFmtId="0" fontId="7" fillId="0" borderId="82" xfId="0" applyNumberFormat="1" applyFont="1" applyFill="1" applyBorder="1" applyAlignment="1" applyProtection="1">
      <alignment horizontal="center" vertical="center"/>
      <protection hidden="1"/>
    </xf>
    <xf numFmtId="0" fontId="0" fillId="0" borderId="83" xfId="0" applyFill="1" applyBorder="1" applyAlignment="1" applyProtection="1">
      <alignment horizontal="center" vertical="center"/>
      <protection hidden="1"/>
    </xf>
    <xf numFmtId="0" fontId="1" fillId="0" borderId="98" xfId="0" applyNumberFormat="1" applyFont="1" applyFill="1" applyBorder="1" applyAlignment="1" applyProtection="1">
      <alignment horizontal="center" vertical="center"/>
      <protection hidden="1"/>
    </xf>
    <xf numFmtId="0" fontId="1" fillId="0" borderId="9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right"/>
      <protection hidden="1"/>
    </xf>
    <xf numFmtId="0" fontId="7" fillId="0" borderId="113" xfId="0" applyNumberFormat="1" applyFont="1" applyFill="1" applyBorder="1" applyAlignment="1" applyProtection="1">
      <alignment horizontal="center" vertical="center"/>
      <protection hidden="1"/>
    </xf>
    <xf numFmtId="0" fontId="27" fillId="0" borderId="114" xfId="0" applyNumberFormat="1" applyFont="1" applyFill="1" applyBorder="1" applyAlignment="1" applyProtection="1">
      <alignment horizontal="center" vertical="center"/>
      <protection hidden="1"/>
    </xf>
    <xf numFmtId="0" fontId="1" fillId="16" borderId="2" xfId="0" applyNumberFormat="1" applyFont="1" applyFill="1" applyBorder="1" applyAlignment="1" applyProtection="1">
      <alignment horizontal="center" vertical="center"/>
      <protection hidden="1"/>
    </xf>
    <xf numFmtId="0" fontId="7" fillId="16" borderId="84" xfId="0" applyNumberFormat="1" applyFont="1" applyFill="1" applyBorder="1" applyAlignment="1" applyProtection="1">
      <alignment horizontal="center" vertical="center"/>
      <protection hidden="1"/>
    </xf>
    <xf numFmtId="0" fontId="1" fillId="16" borderId="131" xfId="0" applyNumberFormat="1" applyFont="1" applyFill="1" applyBorder="1" applyAlignment="1" applyProtection="1">
      <alignment horizontal="center" vertical="center"/>
      <protection hidden="1"/>
    </xf>
    <xf numFmtId="0" fontId="7" fillId="16" borderId="132" xfId="0" applyNumberFormat="1" applyFont="1" applyFill="1" applyBorder="1" applyAlignment="1" applyProtection="1">
      <alignment horizontal="center" vertical="center"/>
      <protection hidden="1"/>
    </xf>
    <xf numFmtId="0" fontId="0" fillId="16" borderId="133" xfId="0" applyFill="1" applyBorder="1" applyAlignment="1" applyProtection="1">
      <alignment horizontal="center" vertical="center"/>
      <protection hidden="1"/>
    </xf>
    <xf numFmtId="0" fontId="7" fillId="0" borderId="115" xfId="0" applyNumberFormat="1" applyFont="1" applyFill="1" applyBorder="1" applyAlignment="1" applyProtection="1">
      <alignment horizontal="center" vertical="center"/>
      <protection hidden="1"/>
    </xf>
    <xf numFmtId="0" fontId="7" fillId="0" borderId="84" xfId="0" applyNumberFormat="1" applyFont="1" applyFill="1" applyBorder="1" applyAlignment="1" applyProtection="1">
      <alignment horizontal="center" vertical="center"/>
      <protection hidden="1"/>
    </xf>
    <xf numFmtId="0" fontId="7" fillId="0" borderId="95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84" xfId="0" applyFill="1" applyBorder="1" applyAlignment="1" applyProtection="1">
      <alignment horizontal="center" vertical="center"/>
      <protection hidden="1"/>
    </xf>
    <xf numFmtId="0" fontId="1" fillId="0" borderId="115" xfId="0" applyNumberFormat="1" applyFont="1" applyFill="1" applyBorder="1" applyAlignment="1" applyProtection="1">
      <alignment horizontal="center" vertical="center"/>
      <protection hidden="1"/>
    </xf>
    <xf numFmtId="0" fontId="1" fillId="0" borderId="95" xfId="0" applyNumberFormat="1" applyFont="1" applyFill="1" applyBorder="1" applyAlignment="1" applyProtection="1">
      <alignment horizontal="center" vertical="center"/>
      <protection hidden="1"/>
    </xf>
    <xf numFmtId="0" fontId="7" fillId="0" borderId="92" xfId="0" applyNumberFormat="1" applyFont="1" applyFill="1" applyBorder="1" applyAlignment="1" applyProtection="1">
      <alignment horizontal="center" vertical="center"/>
      <protection hidden="1"/>
    </xf>
    <xf numFmtId="0" fontId="27" fillId="0" borderId="26" xfId="0" applyNumberFormat="1" applyFont="1" applyFill="1" applyBorder="1" applyAlignment="1" applyProtection="1">
      <alignment horizontal="center" vertical="center"/>
      <protection hidden="1"/>
    </xf>
    <xf numFmtId="0" fontId="7" fillId="16" borderId="2" xfId="0" applyNumberFormat="1" applyFont="1" applyFill="1" applyBorder="1" applyAlignment="1" applyProtection="1">
      <alignment horizontal="center" vertical="center"/>
      <protection hidden="1"/>
    </xf>
    <xf numFmtId="0" fontId="7" fillId="16" borderId="112" xfId="0" applyNumberFormat="1" applyFont="1" applyFill="1" applyBorder="1" applyAlignment="1" applyProtection="1">
      <alignment horizontal="center" vertical="center"/>
      <protection hidden="1"/>
    </xf>
    <xf numFmtId="0" fontId="7" fillId="0" borderId="35" xfId="0" applyNumberFormat="1" applyFont="1" applyFill="1" applyBorder="1" applyAlignment="1" applyProtection="1">
      <alignment horizontal="center" vertical="center"/>
      <protection hidden="1"/>
    </xf>
    <xf numFmtId="0" fontId="7" fillId="0" borderId="112" xfId="0" applyNumberFormat="1" applyFont="1" applyFill="1" applyBorder="1" applyAlignment="1" applyProtection="1">
      <alignment horizontal="center" vertical="center"/>
      <protection hidden="1"/>
    </xf>
    <xf numFmtId="0" fontId="7" fillId="16" borderId="27" xfId="0" applyNumberFormat="1" applyFont="1" applyFill="1" applyBorder="1" applyAlignment="1" applyProtection="1">
      <alignment horizontal="center" vertical="center"/>
      <protection hidden="1"/>
    </xf>
    <xf numFmtId="0" fontId="7" fillId="0" borderId="27" xfId="0" applyNumberFormat="1" applyFont="1" applyFill="1" applyBorder="1" applyAlignment="1" applyProtection="1">
      <alignment horizontal="center" vertical="center"/>
      <protection hidden="1"/>
    </xf>
    <xf numFmtId="0" fontId="7" fillId="16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NumberFormat="1" applyFont="1" applyFill="1" applyBorder="1" applyAlignment="1" applyProtection="1">
      <alignment horizontal="center" vertical="center"/>
      <protection hidden="1"/>
    </xf>
    <xf numFmtId="0" fontId="0" fillId="4" borderId="15" xfId="0" applyFill="1" applyBorder="1" applyAlignment="1" applyProtection="1">
      <alignment horizontal="center"/>
      <protection hidden="1"/>
    </xf>
    <xf numFmtId="0" fontId="0" fillId="4" borderId="66" xfId="0" applyFill="1" applyBorder="1" applyAlignment="1" applyProtection="1">
      <alignment horizontal="center"/>
      <protection hidden="1"/>
    </xf>
    <xf numFmtId="0" fontId="7" fillId="0" borderId="91" xfId="0" applyNumberFormat="1" applyFont="1" applyFill="1" applyBorder="1" applyAlignment="1" applyProtection="1">
      <alignment horizontal="center" vertical="center"/>
      <protection hidden="1"/>
    </xf>
    <xf numFmtId="0" fontId="27" fillId="0" borderId="25" xfId="0" applyNumberFormat="1" applyFont="1" applyFill="1" applyBorder="1" applyAlignment="1" applyProtection="1">
      <alignment horizontal="center" vertical="center"/>
      <protection hidden="1"/>
    </xf>
    <xf numFmtId="0" fontId="0" fillId="4" borderId="117" xfId="0" applyFill="1" applyBorder="1" applyAlignment="1" applyProtection="1">
      <alignment horizontal="center"/>
      <protection hidden="1"/>
    </xf>
    <xf numFmtId="0" fontId="0" fillId="4" borderId="25" xfId="0" applyFill="1" applyBorder="1" applyAlignment="1" applyProtection="1">
      <alignment horizontal="center"/>
      <protection hidden="1"/>
    </xf>
    <xf numFmtId="0" fontId="0" fillId="4" borderId="118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4" borderId="67" xfId="0" applyFill="1" applyBorder="1" applyAlignment="1" applyProtection="1">
      <alignment horizontal="center"/>
      <protection hidden="1"/>
    </xf>
    <xf numFmtId="0" fontId="0" fillId="4" borderId="68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7" fillId="11" borderId="2" xfId="0" applyNumberFormat="1" applyFont="1" applyFill="1" applyBorder="1" applyAlignment="1" applyProtection="1">
      <alignment horizontal="center" vertical="center"/>
      <protection hidden="1"/>
    </xf>
    <xf numFmtId="0" fontId="7" fillId="11" borderId="3" xfId="0" applyNumberFormat="1" applyFont="1" applyFill="1" applyBorder="1" applyAlignment="1" applyProtection="1">
      <alignment horizontal="center" vertical="center"/>
      <protection hidden="1"/>
    </xf>
    <xf numFmtId="0" fontId="7" fillId="11" borderId="95" xfId="0" applyNumberFormat="1" applyFont="1" applyFill="1" applyBorder="1" applyAlignment="1" applyProtection="1">
      <alignment horizontal="center" vertical="center"/>
      <protection hidden="1"/>
    </xf>
    <xf numFmtId="0" fontId="0" fillId="11" borderId="84" xfId="0" applyFill="1" applyBorder="1" applyAlignment="1" applyProtection="1">
      <alignment horizontal="center" vertical="center"/>
      <protection hidden="1"/>
    </xf>
    <xf numFmtId="0" fontId="1" fillId="11" borderId="95" xfId="0" applyNumberFormat="1" applyFont="1" applyFill="1" applyBorder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horizontal="center"/>
      <protection hidden="1"/>
    </xf>
    <xf numFmtId="0" fontId="7" fillId="0" borderId="90" xfId="0" applyNumberFormat="1" applyFont="1" applyFill="1" applyBorder="1" applyAlignment="1" applyProtection="1">
      <alignment horizontal="center" vertical="center"/>
      <protection hidden="1"/>
    </xf>
    <xf numFmtId="0" fontId="27" fillId="0" borderId="28" xfId="0" applyNumberFormat="1" applyFont="1" applyFill="1" applyBorder="1" applyAlignment="1" applyProtection="1">
      <alignment horizontal="center" vertical="center"/>
      <protection hidden="1"/>
    </xf>
    <xf numFmtId="0" fontId="0" fillId="4" borderId="74" xfId="0" applyFill="1" applyBorder="1" applyAlignment="1" applyProtection="1">
      <alignment horizontal="center"/>
      <protection hidden="1"/>
    </xf>
    <xf numFmtId="0" fontId="0" fillId="4" borderId="77" xfId="0" applyFill="1" applyBorder="1" applyAlignment="1" applyProtection="1">
      <alignment horizontal="center"/>
      <protection hidden="1"/>
    </xf>
    <xf numFmtId="0" fontId="0" fillId="4" borderId="64" xfId="0" applyFill="1" applyBorder="1" applyAlignment="1" applyProtection="1">
      <alignment horizontal="center"/>
      <protection hidden="1"/>
    </xf>
    <xf numFmtId="0" fontId="58" fillId="0" borderId="50" xfId="0" applyFont="1" applyBorder="1" applyProtection="1">
      <protection hidden="1"/>
    </xf>
    <xf numFmtId="0" fontId="0" fillId="4" borderId="75" xfId="0" applyFill="1" applyBorder="1" applyAlignment="1" applyProtection="1">
      <alignment horizontal="center"/>
      <protection hidden="1"/>
    </xf>
    <xf numFmtId="0" fontId="0" fillId="4" borderId="78" xfId="0" applyFill="1" applyBorder="1" applyAlignment="1" applyProtection="1">
      <alignment horizontal="center"/>
      <protection hidden="1"/>
    </xf>
    <xf numFmtId="0" fontId="7" fillId="4" borderId="75" xfId="0" applyFont="1" applyFill="1" applyBorder="1" applyAlignment="1" applyProtection="1">
      <alignment horizontal="center"/>
      <protection hidden="1"/>
    </xf>
    <xf numFmtId="0" fontId="59" fillId="0" borderId="71" xfId="0" applyFont="1" applyBorder="1" applyProtection="1">
      <protection hidden="1"/>
    </xf>
    <xf numFmtId="0" fontId="59" fillId="0" borderId="0" xfId="0" applyFont="1" applyBorder="1" applyProtection="1">
      <protection hidden="1"/>
    </xf>
    <xf numFmtId="0" fontId="0" fillId="4" borderId="76" xfId="0" applyFill="1" applyBorder="1" applyAlignment="1" applyProtection="1">
      <alignment horizontal="center"/>
      <protection hidden="1"/>
    </xf>
    <xf numFmtId="0" fontId="0" fillId="4" borderId="79" xfId="0" applyFill="1" applyBorder="1" applyAlignment="1" applyProtection="1">
      <alignment horizontal="center"/>
      <protection hidden="1"/>
    </xf>
    <xf numFmtId="0" fontId="0" fillId="4" borderId="72" xfId="0" applyFill="1" applyBorder="1" applyAlignment="1" applyProtection="1">
      <alignment horizontal="center"/>
      <protection hidden="1"/>
    </xf>
    <xf numFmtId="0" fontId="0" fillId="0" borderId="73" xfId="0" applyBorder="1" applyProtection="1">
      <protection hidden="1"/>
    </xf>
    <xf numFmtId="0" fontId="7" fillId="4" borderId="67" xfId="0" applyFont="1" applyFill="1" applyBorder="1" applyAlignment="1" applyProtection="1">
      <alignment horizontal="center"/>
      <protection hidden="1"/>
    </xf>
    <xf numFmtId="0" fontId="0" fillId="4" borderId="69" xfId="0" applyFill="1" applyBorder="1" applyAlignment="1" applyProtection="1">
      <alignment horizontal="center"/>
      <protection hidden="1"/>
    </xf>
    <xf numFmtId="0" fontId="24" fillId="3" borderId="20" xfId="0" applyFont="1" applyFill="1" applyBorder="1" applyAlignment="1" applyProtection="1">
      <protection hidden="1"/>
    </xf>
    <xf numFmtId="0" fontId="55" fillId="12" borderId="16" xfId="0" applyFont="1" applyFill="1" applyBorder="1" applyAlignment="1" applyProtection="1">
      <alignment horizontal="center" vertical="center"/>
      <protection hidden="1"/>
    </xf>
    <xf numFmtId="0" fontId="1" fillId="23" borderId="121" xfId="0" applyFont="1" applyFill="1" applyBorder="1" applyAlignment="1" applyProtection="1">
      <alignment horizontal="center"/>
      <protection hidden="1"/>
    </xf>
    <xf numFmtId="0" fontId="0" fillId="23" borderId="51" xfId="0" applyFill="1" applyBorder="1" applyAlignment="1" applyProtection="1">
      <alignment horizontal="center"/>
      <protection hidden="1"/>
    </xf>
    <xf numFmtId="0" fontId="0" fillId="23" borderId="52" xfId="0" applyFill="1" applyBorder="1" applyAlignment="1" applyProtection="1">
      <alignment horizontal="center"/>
      <protection hidden="1"/>
    </xf>
    <xf numFmtId="0" fontId="58" fillId="0" borderId="46" xfId="0" applyFont="1" applyBorder="1" applyProtection="1">
      <protection hidden="1"/>
    </xf>
    <xf numFmtId="0" fontId="1" fillId="23" borderId="53" xfId="0" applyFont="1" applyFill="1" applyBorder="1" applyAlignment="1" applyProtection="1">
      <alignment horizontal="center"/>
      <protection hidden="1"/>
    </xf>
    <xf numFmtId="0" fontId="0" fillId="23" borderId="2" xfId="0" applyFill="1" applyBorder="1" applyAlignment="1" applyProtection="1">
      <alignment horizontal="center"/>
      <protection hidden="1"/>
    </xf>
    <xf numFmtId="0" fontId="0" fillId="23" borderId="54" xfId="0" applyFill="1" applyBorder="1" applyAlignment="1" applyProtection="1">
      <alignment horizontal="center"/>
      <protection hidden="1"/>
    </xf>
    <xf numFmtId="0" fontId="1" fillId="23" borderId="55" xfId="0" applyFont="1" applyFill="1" applyBorder="1" applyAlignment="1" applyProtection="1">
      <alignment horizontal="center"/>
      <protection hidden="1"/>
    </xf>
    <xf numFmtId="0" fontId="0" fillId="23" borderId="8" xfId="0" applyFill="1" applyBorder="1" applyAlignment="1" applyProtection="1">
      <alignment horizontal="center"/>
      <protection hidden="1"/>
    </xf>
    <xf numFmtId="0" fontId="0" fillId="23" borderId="56" xfId="0" applyFill="1" applyBorder="1" applyAlignment="1" applyProtection="1">
      <alignment horizontal="center"/>
      <protection hidden="1"/>
    </xf>
    <xf numFmtId="0" fontId="7" fillId="0" borderId="47" xfId="0" applyFont="1" applyFill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center"/>
      <protection hidden="1"/>
    </xf>
    <xf numFmtId="0" fontId="1" fillId="3" borderId="121" xfId="0" applyFont="1" applyFill="1" applyBorder="1" applyAlignment="1" applyProtection="1">
      <alignment horizontal="center"/>
      <protection hidden="1"/>
    </xf>
    <xf numFmtId="0" fontId="0" fillId="3" borderId="51" xfId="0" applyFill="1" applyBorder="1" applyAlignment="1" applyProtection="1">
      <alignment horizontal="center"/>
      <protection hidden="1"/>
    </xf>
    <xf numFmtId="0" fontId="0" fillId="3" borderId="52" xfId="0" applyFill="1" applyBorder="1" applyAlignment="1" applyProtection="1">
      <alignment horizontal="center"/>
      <protection hidden="1"/>
    </xf>
    <xf numFmtId="0" fontId="7" fillId="0" borderId="116" xfId="0" applyFont="1" applyFill="1" applyBorder="1" applyAlignment="1" applyProtection="1">
      <alignment horizontal="center"/>
      <protection hidden="1"/>
    </xf>
    <xf numFmtId="0" fontId="1" fillId="3" borderId="53" xfId="0" applyFont="1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54" xfId="0" applyFill="1" applyBorder="1" applyAlignment="1" applyProtection="1">
      <alignment horizontal="center"/>
      <protection hidden="1"/>
    </xf>
    <xf numFmtId="0" fontId="7" fillId="0" borderId="48" xfId="0" applyFont="1" applyFill="1" applyBorder="1" applyAlignment="1" applyProtection="1">
      <alignment horizontal="center"/>
      <protection hidden="1"/>
    </xf>
    <xf numFmtId="0" fontId="1" fillId="3" borderId="55" xfId="0" applyFont="1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0" fillId="3" borderId="56" xfId="0" applyFill="1" applyBorder="1" applyAlignment="1" applyProtection="1">
      <alignment horizontal="center"/>
      <protection hidden="1"/>
    </xf>
    <xf numFmtId="0" fontId="1" fillId="17" borderId="111" xfId="0" applyFont="1" applyFill="1" applyBorder="1" applyAlignment="1" applyProtection="1">
      <alignment horizontal="center"/>
      <protection hidden="1"/>
    </xf>
    <xf numFmtId="0" fontId="0" fillId="17" borderId="6" xfId="0" applyFill="1" applyBorder="1" applyAlignment="1" applyProtection="1">
      <alignment horizontal="center"/>
      <protection hidden="1"/>
    </xf>
    <xf numFmtId="0" fontId="0" fillId="17" borderId="57" xfId="0" applyFill="1" applyBorder="1" applyAlignment="1" applyProtection="1">
      <alignment horizontal="center"/>
      <protection hidden="1"/>
    </xf>
    <xf numFmtId="0" fontId="1" fillId="17" borderId="53" xfId="0" applyFont="1" applyFill="1" applyBorder="1" applyAlignment="1" applyProtection="1">
      <alignment horizontal="center"/>
      <protection hidden="1"/>
    </xf>
    <xf numFmtId="0" fontId="0" fillId="17" borderId="2" xfId="0" applyFill="1" applyBorder="1" applyAlignment="1" applyProtection="1">
      <alignment horizontal="center"/>
      <protection hidden="1"/>
    </xf>
    <xf numFmtId="0" fontId="0" fillId="17" borderId="54" xfId="0" applyFill="1" applyBorder="1" applyAlignment="1" applyProtection="1">
      <alignment horizontal="center"/>
      <protection hidden="1"/>
    </xf>
    <xf numFmtId="0" fontId="1" fillId="17" borderId="55" xfId="0" applyFont="1" applyFill="1" applyBorder="1" applyAlignment="1" applyProtection="1">
      <alignment horizontal="center"/>
      <protection hidden="1"/>
    </xf>
    <xf numFmtId="0" fontId="0" fillId="17" borderId="8" xfId="0" applyFill="1" applyBorder="1" applyAlignment="1" applyProtection="1">
      <alignment horizontal="center"/>
      <protection hidden="1"/>
    </xf>
    <xf numFmtId="0" fontId="0" fillId="17" borderId="56" xfId="0" applyFill="1" applyBorder="1" applyAlignment="1" applyProtection="1">
      <alignment horizontal="center"/>
      <protection hidden="1"/>
    </xf>
    <xf numFmtId="0" fontId="1" fillId="6" borderId="111" xfId="0" applyFont="1" applyFill="1" applyBorder="1" applyAlignment="1" applyProtection="1">
      <alignment horizontal="center"/>
      <protection hidden="1"/>
    </xf>
    <xf numFmtId="0" fontId="0" fillId="6" borderId="6" xfId="0" applyFill="1" applyBorder="1" applyAlignment="1" applyProtection="1">
      <alignment horizontal="center"/>
      <protection hidden="1"/>
    </xf>
    <xf numFmtId="0" fontId="0" fillId="6" borderId="57" xfId="0" applyFill="1" applyBorder="1" applyAlignment="1" applyProtection="1">
      <alignment horizontal="center"/>
      <protection hidden="1"/>
    </xf>
    <xf numFmtId="0" fontId="7" fillId="0" borderId="49" xfId="0" applyFont="1" applyFill="1" applyBorder="1" applyAlignment="1" applyProtection="1">
      <alignment horizontal="center"/>
      <protection hidden="1"/>
    </xf>
    <xf numFmtId="0" fontId="1" fillId="6" borderId="53" xfId="0" applyFont="1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54" xfId="0" applyFill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1" fillId="6" borderId="55" xfId="0" applyFont="1" applyFill="1" applyBorder="1" applyAlignment="1" applyProtection="1">
      <alignment horizontal="center"/>
      <protection hidden="1"/>
    </xf>
    <xf numFmtId="0" fontId="0" fillId="6" borderId="8" xfId="0" applyFill="1" applyBorder="1" applyAlignment="1" applyProtection="1">
      <alignment horizontal="center"/>
      <protection hidden="1"/>
    </xf>
    <xf numFmtId="0" fontId="0" fillId="6" borderId="56" xfId="0" applyFill="1" applyBorder="1" applyAlignment="1" applyProtection="1">
      <alignment horizontal="center"/>
      <protection hidden="1"/>
    </xf>
    <xf numFmtId="0" fontId="1" fillId="21" borderId="104" xfId="0" applyFont="1" applyFill="1" applyBorder="1" applyAlignment="1" applyProtection="1">
      <alignment horizontal="center"/>
      <protection hidden="1"/>
    </xf>
    <xf numFmtId="0" fontId="0" fillId="21" borderId="107" xfId="0" applyFill="1" applyBorder="1" applyAlignment="1" applyProtection="1">
      <alignment horizontal="center"/>
      <protection hidden="1"/>
    </xf>
    <xf numFmtId="0" fontId="0" fillId="21" borderId="108" xfId="0" applyFill="1" applyBorder="1" applyAlignment="1" applyProtection="1">
      <alignment horizontal="center"/>
      <protection hidden="1"/>
    </xf>
    <xf numFmtId="0" fontId="58" fillId="11" borderId="17" xfId="0" applyFont="1" applyFill="1" applyBorder="1" applyProtection="1">
      <protection hidden="1"/>
    </xf>
    <xf numFmtId="0" fontId="0" fillId="11" borderId="18" xfId="0" applyFill="1" applyBorder="1" applyProtection="1">
      <protection hidden="1"/>
    </xf>
    <xf numFmtId="0" fontId="0" fillId="11" borderId="25" xfId="0" applyFill="1" applyBorder="1" applyProtection="1">
      <protection hidden="1"/>
    </xf>
    <xf numFmtId="0" fontId="1" fillId="21" borderId="105" xfId="0" applyFont="1" applyFill="1" applyBorder="1" applyAlignment="1" applyProtection="1">
      <alignment horizontal="center"/>
      <protection hidden="1"/>
    </xf>
    <xf numFmtId="0" fontId="0" fillId="21" borderId="102" xfId="0" applyFill="1" applyBorder="1" applyAlignment="1" applyProtection="1">
      <alignment horizontal="center"/>
      <protection hidden="1"/>
    </xf>
    <xf numFmtId="0" fontId="0" fillId="21" borderId="103" xfId="0" applyFill="1" applyBorder="1" applyAlignment="1" applyProtection="1">
      <alignment horizontal="center"/>
      <protection hidden="1"/>
    </xf>
    <xf numFmtId="0" fontId="0" fillId="0" borderId="19" xfId="0" applyFill="1" applyBorder="1" applyProtection="1">
      <protection hidden="1"/>
    </xf>
    <xf numFmtId="0" fontId="0" fillId="0" borderId="26" xfId="0" applyFill="1" applyBorder="1" applyProtection="1">
      <protection hidden="1"/>
    </xf>
    <xf numFmtId="0" fontId="1" fillId="21" borderId="106" xfId="0" applyFont="1" applyFill="1" applyBorder="1" applyAlignment="1" applyProtection="1">
      <alignment horizontal="center"/>
      <protection hidden="1"/>
    </xf>
    <xf numFmtId="0" fontId="0" fillId="21" borderId="109" xfId="0" applyFill="1" applyBorder="1" applyAlignment="1" applyProtection="1">
      <alignment horizontal="center"/>
      <protection hidden="1"/>
    </xf>
    <xf numFmtId="0" fontId="0" fillId="21" borderId="110" xfId="0" applyFill="1" applyBorder="1" applyAlignment="1" applyProtection="1">
      <alignment horizontal="center"/>
      <protection hidden="1"/>
    </xf>
    <xf numFmtId="0" fontId="0" fillId="0" borderId="27" xfId="0" applyFill="1" applyBorder="1" applyProtection="1">
      <protection hidden="1"/>
    </xf>
    <xf numFmtId="0" fontId="0" fillId="0" borderId="28" xfId="0" applyFill="1" applyBorder="1" applyProtection="1">
      <protection hidden="1"/>
    </xf>
    <xf numFmtId="0" fontId="1" fillId="5" borderId="111" xfId="0" applyFont="1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0" fontId="0" fillId="5" borderId="57" xfId="0" applyFill="1" applyBorder="1" applyAlignment="1" applyProtection="1">
      <alignment horizontal="center"/>
      <protection hidden="1"/>
    </xf>
    <xf numFmtId="0" fontId="1" fillId="5" borderId="53" xfId="0" applyFont="1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54" xfId="0" applyFill="1" applyBorder="1" applyAlignment="1" applyProtection="1">
      <alignment horizontal="center"/>
      <protection hidden="1"/>
    </xf>
    <xf numFmtId="0" fontId="1" fillId="5" borderId="55" xfId="0" applyFont="1" applyFill="1" applyBorder="1" applyAlignment="1" applyProtection="1">
      <alignment horizontal="center"/>
      <protection hidden="1"/>
    </xf>
    <xf numFmtId="0" fontId="0" fillId="5" borderId="8" xfId="0" applyFill="1" applyBorder="1" applyAlignment="1" applyProtection="1">
      <alignment horizontal="center"/>
      <protection hidden="1"/>
    </xf>
    <xf numFmtId="0" fontId="0" fillId="5" borderId="56" xfId="0" applyFill="1" applyBorder="1" applyAlignment="1" applyProtection="1">
      <alignment horizontal="center"/>
      <protection hidden="1"/>
    </xf>
    <xf numFmtId="0" fontId="0" fillId="11" borderId="0" xfId="0" applyFill="1" applyProtection="1">
      <protection hidden="1"/>
    </xf>
    <xf numFmtId="11" fontId="0" fillId="11" borderId="0" xfId="0" applyNumberFormat="1" applyFill="1" applyProtection="1">
      <protection hidden="1"/>
    </xf>
    <xf numFmtId="168" fontId="0" fillId="0" borderId="0" xfId="0" applyNumberFormat="1" applyAlignment="1" applyProtection="1">
      <alignment horizontal="center" vertical="center"/>
      <protection hidden="1"/>
    </xf>
    <xf numFmtId="0" fontId="1" fillId="25" borderId="104" xfId="0" applyFont="1" applyFill="1" applyBorder="1" applyAlignment="1" applyProtection="1">
      <alignment horizontal="center"/>
      <protection hidden="1"/>
    </xf>
    <xf numFmtId="0" fontId="0" fillId="25" borderId="100" xfId="0" applyFill="1" applyBorder="1" applyAlignment="1" applyProtection="1">
      <alignment horizontal="center"/>
      <protection hidden="1"/>
    </xf>
    <xf numFmtId="0" fontId="0" fillId="25" borderId="101" xfId="0" applyFill="1" applyBorder="1" applyAlignment="1" applyProtection="1">
      <alignment horizontal="center"/>
      <protection hidden="1"/>
    </xf>
    <xf numFmtId="0" fontId="1" fillId="25" borderId="105" xfId="0" applyFont="1" applyFill="1" applyBorder="1" applyAlignment="1" applyProtection="1">
      <alignment horizontal="center"/>
      <protection hidden="1"/>
    </xf>
    <xf numFmtId="0" fontId="0" fillId="25" borderId="102" xfId="0" applyFill="1" applyBorder="1" applyAlignment="1" applyProtection="1">
      <alignment horizontal="center"/>
      <protection hidden="1"/>
    </xf>
    <xf numFmtId="0" fontId="0" fillId="25" borderId="103" xfId="0" applyFill="1" applyBorder="1" applyAlignment="1" applyProtection="1">
      <alignment horizontal="center"/>
      <protection hidden="1"/>
    </xf>
    <xf numFmtId="0" fontId="1" fillId="25" borderId="120" xfId="0" applyFont="1" applyFill="1" applyBorder="1" applyAlignment="1" applyProtection="1">
      <alignment horizontal="center"/>
      <protection hidden="1"/>
    </xf>
    <xf numFmtId="0" fontId="0" fillId="25" borderId="109" xfId="0" applyFill="1" applyBorder="1" applyAlignment="1" applyProtection="1">
      <alignment horizontal="center"/>
      <protection hidden="1"/>
    </xf>
    <xf numFmtId="0" fontId="0" fillId="25" borderId="110" xfId="0" applyFill="1" applyBorder="1" applyAlignment="1" applyProtection="1">
      <alignment horizontal="center"/>
      <protection hidden="1"/>
    </xf>
    <xf numFmtId="0" fontId="1" fillId="24" borderId="111" xfId="0" applyFont="1" applyFill="1" applyBorder="1" applyAlignment="1" applyProtection="1">
      <alignment horizontal="center"/>
      <protection hidden="1"/>
    </xf>
    <xf numFmtId="0" fontId="0" fillId="24" borderId="6" xfId="0" applyFill="1" applyBorder="1" applyAlignment="1" applyProtection="1">
      <alignment horizontal="center"/>
      <protection hidden="1"/>
    </xf>
    <xf numFmtId="0" fontId="0" fillId="24" borderId="57" xfId="0" applyFill="1" applyBorder="1" applyAlignment="1" applyProtection="1">
      <alignment horizontal="center"/>
      <protection hidden="1"/>
    </xf>
    <xf numFmtId="0" fontId="1" fillId="24" borderId="53" xfId="0" applyFont="1" applyFill="1" applyBorder="1" applyAlignment="1" applyProtection="1">
      <alignment horizontal="center"/>
      <protection hidden="1"/>
    </xf>
    <xf numFmtId="0" fontId="0" fillId="24" borderId="2" xfId="0" applyFill="1" applyBorder="1" applyAlignment="1" applyProtection="1">
      <alignment horizontal="center"/>
      <protection hidden="1"/>
    </xf>
    <xf numFmtId="0" fontId="0" fillId="24" borderId="54" xfId="0" applyFill="1" applyBorder="1" applyAlignment="1" applyProtection="1">
      <alignment horizontal="center"/>
      <protection hidden="1"/>
    </xf>
    <xf numFmtId="0" fontId="1" fillId="24" borderId="55" xfId="0" applyFont="1" applyFill="1" applyBorder="1" applyAlignment="1" applyProtection="1">
      <alignment horizontal="center"/>
      <protection hidden="1"/>
    </xf>
    <xf numFmtId="0" fontId="0" fillId="24" borderId="8" xfId="0" applyFill="1" applyBorder="1" applyAlignment="1" applyProtection="1">
      <alignment horizontal="center"/>
      <protection hidden="1"/>
    </xf>
    <xf numFmtId="0" fontId="0" fillId="24" borderId="56" xfId="0" applyFill="1" applyBorder="1" applyAlignment="1" applyProtection="1">
      <alignment horizontal="center"/>
      <protection hidden="1"/>
    </xf>
    <xf numFmtId="0" fontId="0" fillId="6" borderId="47" xfId="0" applyFill="1" applyBorder="1" applyAlignment="1" applyProtection="1">
      <alignment horizontal="center"/>
      <protection hidden="1"/>
    </xf>
    <xf numFmtId="0" fontId="0" fillId="6" borderId="116" xfId="0" applyFill="1" applyBorder="1" applyAlignment="1" applyProtection="1">
      <alignment horizontal="center"/>
      <protection hidden="1"/>
    </xf>
    <xf numFmtId="0" fontId="1" fillId="23" borderId="111" xfId="0" applyFont="1" applyFill="1" applyBorder="1" applyAlignment="1" applyProtection="1">
      <alignment horizontal="center"/>
      <protection hidden="1"/>
    </xf>
    <xf numFmtId="0" fontId="0" fillId="23" borderId="6" xfId="0" applyFill="1" applyBorder="1" applyAlignment="1" applyProtection="1">
      <alignment horizontal="center"/>
      <protection hidden="1"/>
    </xf>
    <xf numFmtId="0" fontId="0" fillId="23" borderId="57" xfId="0" applyFill="1" applyBorder="1" applyAlignment="1" applyProtection="1">
      <alignment horizontal="center"/>
      <protection hidden="1"/>
    </xf>
    <xf numFmtId="0" fontId="0" fillId="6" borderId="48" xfId="0" applyFill="1" applyBorder="1" applyAlignment="1" applyProtection="1">
      <alignment horizontal="center"/>
      <protection hidden="1"/>
    </xf>
    <xf numFmtId="0" fontId="7" fillId="0" borderId="16" xfId="0" applyNumberFormat="1" applyFont="1" applyFill="1" applyBorder="1" applyAlignment="1" applyProtection="1">
      <alignment horizontal="center" vertical="center"/>
      <protection hidden="1"/>
    </xf>
    <xf numFmtId="0" fontId="1" fillId="18" borderId="111" xfId="0" applyFont="1" applyFill="1" applyBorder="1" applyAlignment="1" applyProtection="1">
      <alignment horizontal="center"/>
      <protection hidden="1"/>
    </xf>
    <xf numFmtId="0" fontId="0" fillId="18" borderId="6" xfId="0" applyFill="1" applyBorder="1" applyAlignment="1" applyProtection="1">
      <alignment horizontal="center"/>
      <protection hidden="1"/>
    </xf>
    <xf numFmtId="0" fontId="0" fillId="18" borderId="57" xfId="0" applyFill="1" applyBorder="1" applyAlignment="1" applyProtection="1">
      <alignment horizontal="center"/>
      <protection hidden="1"/>
    </xf>
    <xf numFmtId="0" fontId="1" fillId="18" borderId="53" xfId="0" applyFont="1" applyFill="1" applyBorder="1" applyAlignment="1" applyProtection="1">
      <alignment horizontal="center"/>
      <protection hidden="1"/>
    </xf>
    <xf numFmtId="0" fontId="0" fillId="18" borderId="2" xfId="0" applyFill="1" applyBorder="1" applyAlignment="1" applyProtection="1">
      <alignment horizontal="center"/>
      <protection hidden="1"/>
    </xf>
    <xf numFmtId="0" fontId="0" fillId="18" borderId="54" xfId="0" applyFill="1" applyBorder="1" applyAlignment="1" applyProtection="1">
      <alignment horizontal="center"/>
      <protection hidden="1"/>
    </xf>
    <xf numFmtId="0" fontId="1" fillId="18" borderId="119" xfId="0" applyFont="1" applyFill="1" applyBorder="1" applyAlignment="1" applyProtection="1">
      <alignment horizontal="center"/>
      <protection hidden="1"/>
    </xf>
    <xf numFmtId="0" fontId="0" fillId="18" borderId="58" xfId="0" applyFill="1" applyBorder="1" applyAlignment="1" applyProtection="1">
      <alignment horizontal="center"/>
      <protection hidden="1"/>
    </xf>
    <xf numFmtId="0" fontId="0" fillId="18" borderId="59" xfId="0" applyFill="1" applyBorder="1" applyAlignment="1" applyProtection="1">
      <alignment horizontal="center"/>
      <protection hidden="1"/>
    </xf>
    <xf numFmtId="0" fontId="1" fillId="7" borderId="111" xfId="0" applyFont="1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0" fillId="7" borderId="57" xfId="0" applyFill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7" borderId="54" xfId="0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0" fillId="7" borderId="56" xfId="0" applyFill="1" applyBorder="1" applyAlignment="1" applyProtection="1">
      <alignment horizont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0" fontId="0" fillId="4" borderId="57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54" xfId="0" applyFill="1" applyBorder="1" applyAlignment="1" applyProtection="1">
      <alignment horizontal="center"/>
      <protection hidden="1"/>
    </xf>
    <xf numFmtId="0" fontId="0" fillId="19" borderId="48" xfId="0" applyFill="1" applyBorder="1" applyAlignment="1" applyProtection="1">
      <alignment horizontal="center"/>
      <protection hidden="1"/>
    </xf>
    <xf numFmtId="0" fontId="0" fillId="4" borderId="8" xfId="0" applyFill="1" applyBorder="1" applyAlignment="1" applyProtection="1">
      <alignment horizontal="center"/>
      <protection hidden="1"/>
    </xf>
    <xf numFmtId="0" fontId="0" fillId="4" borderId="56" xfId="0" applyFill="1" applyBorder="1" applyAlignment="1" applyProtection="1">
      <alignment horizontal="center"/>
      <protection hidden="1"/>
    </xf>
    <xf numFmtId="0" fontId="0" fillId="19" borderId="116" xfId="0" applyFill="1" applyBorder="1" applyAlignment="1" applyProtection="1">
      <alignment horizontal="center"/>
      <protection hidden="1"/>
    </xf>
    <xf numFmtId="0" fontId="1" fillId="16" borderId="131" xfId="0" applyNumberFormat="1" applyFont="1" applyFill="1" applyBorder="1" applyAlignment="1" applyProtection="1">
      <alignment horizontal="center" vertical="top" wrapText="1"/>
      <protection hidden="1"/>
    </xf>
    <xf numFmtId="0" fontId="7" fillId="0" borderId="95" xfId="0" applyNumberFormat="1" applyFont="1" applyFill="1" applyBorder="1" applyAlignment="1" applyProtection="1">
      <alignment horizontal="center" vertical="top" wrapText="1"/>
      <protection hidden="1"/>
    </xf>
    <xf numFmtId="0" fontId="1" fillId="0" borderId="95" xfId="0" applyNumberFormat="1" applyFont="1" applyFill="1" applyBorder="1" applyAlignment="1" applyProtection="1">
      <alignment horizontal="center" vertical="top" wrapText="1"/>
      <protection hidden="1"/>
    </xf>
    <xf numFmtId="0" fontId="37" fillId="16" borderId="132" xfId="1" applyFill="1" applyBorder="1" applyAlignment="1" applyProtection="1">
      <alignment horizont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7" fillId="0" borderId="3" xfId="1" applyBorder="1" applyAlignment="1" applyProtection="1">
      <alignment horizontal="center"/>
      <protection hidden="1"/>
    </xf>
    <xf numFmtId="0" fontId="7" fillId="0" borderId="126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Border="1" applyProtection="1">
      <protection hidden="1"/>
    </xf>
    <xf numFmtId="0" fontId="1" fillId="16" borderId="134" xfId="0" applyNumberFormat="1" applyFont="1" applyFill="1" applyBorder="1" applyAlignment="1" applyProtection="1">
      <alignment horizontal="center" vertical="center"/>
      <protection hidden="1"/>
    </xf>
    <xf numFmtId="0" fontId="7" fillId="16" borderId="135" xfId="0" applyNumberFormat="1" applyFont="1" applyFill="1" applyBorder="1" applyAlignment="1" applyProtection="1">
      <alignment horizontal="center" vertical="center"/>
      <protection hidden="1"/>
    </xf>
    <xf numFmtId="0" fontId="0" fillId="16" borderId="136" xfId="0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92" xfId="0" applyBorder="1" applyProtection="1"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28" xfId="0" applyBorder="1" applyProtection="1">
      <protection hidden="1"/>
    </xf>
    <xf numFmtId="0" fontId="7" fillId="0" borderId="17" xfId="0" applyNumberFormat="1" applyFont="1" applyFill="1" applyBorder="1" applyAlignment="1" applyProtection="1">
      <alignment horizontal="center" vertical="center"/>
      <protection hidden="1"/>
    </xf>
    <xf numFmtId="0" fontId="7" fillId="0" borderId="85" xfId="0" applyNumberFormat="1" applyFont="1" applyFill="1" applyBorder="1" applyAlignment="1" applyProtection="1">
      <alignment horizontal="center" vertical="center"/>
      <protection hidden="1"/>
    </xf>
    <xf numFmtId="0" fontId="0" fillId="0" borderId="86" xfId="0" applyFill="1" applyBorder="1" applyAlignment="1" applyProtection="1">
      <alignment horizontal="center" vertical="center"/>
      <protection hidden="1"/>
    </xf>
    <xf numFmtId="0" fontId="7" fillId="0" borderId="93" xfId="0" applyNumberFormat="1" applyFont="1" applyFill="1" applyBorder="1" applyAlignment="1" applyProtection="1">
      <alignment horizontal="center" vertical="center"/>
      <protection hidden="1"/>
    </xf>
    <xf numFmtId="0" fontId="27" fillId="0" borderId="55" xfId="0" applyNumberFormat="1" applyFont="1" applyFill="1" applyBorder="1" applyAlignment="1" applyProtection="1">
      <alignment horizontal="center" vertical="center"/>
      <protection hidden="1"/>
    </xf>
    <xf numFmtId="0" fontId="7" fillId="0" borderId="8" xfId="0" applyNumberFormat="1" applyFont="1" applyFill="1" applyBorder="1" applyAlignment="1" applyProtection="1">
      <alignment horizontal="center" vertical="center"/>
      <protection hidden="1"/>
    </xf>
    <xf numFmtId="0" fontId="7" fillId="0" borderId="99" xfId="0" applyNumberFormat="1" applyFont="1" applyFill="1" applyBorder="1" applyAlignment="1" applyProtection="1">
      <alignment horizontal="center" vertical="center"/>
      <protection hidden="1"/>
    </xf>
    <xf numFmtId="0" fontId="7" fillId="0" borderId="87" xfId="0" applyNumberFormat="1" applyFont="1" applyFill="1" applyBorder="1" applyAlignment="1" applyProtection="1">
      <alignment horizontal="center" vertical="center"/>
      <protection hidden="1"/>
    </xf>
    <xf numFmtId="0" fontId="7" fillId="0" borderId="88" xfId="0" applyNumberFormat="1" applyFont="1" applyFill="1" applyBorder="1" applyAlignment="1" applyProtection="1">
      <alignment horizontal="center" vertical="center"/>
      <protection hidden="1"/>
    </xf>
    <xf numFmtId="0" fontId="0" fillId="0" borderId="89" xfId="0" applyFill="1" applyBorder="1" applyAlignment="1" applyProtection="1">
      <alignment horizontal="center" vertical="center"/>
      <protection hidden="1"/>
    </xf>
    <xf numFmtId="0" fontId="27" fillId="0" borderId="125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0" fontId="27" fillId="0" borderId="127" xfId="0" applyNumberFormat="1" applyFont="1" applyFill="1" applyBorder="1" applyAlignment="1" applyProtection="1">
      <alignment horizontal="center" vertical="center"/>
      <protection hidden="1"/>
    </xf>
    <xf numFmtId="49" fontId="7" fillId="11" borderId="3" xfId="0" applyNumberFormat="1" applyFont="1" applyFill="1" applyBorder="1" applyAlignment="1" applyProtection="1">
      <alignment horizontal="center" vertical="center"/>
      <protection hidden="1"/>
    </xf>
    <xf numFmtId="49" fontId="7" fillId="11" borderId="29" xfId="0" applyNumberFormat="1" applyFont="1" applyFill="1" applyBorder="1" applyAlignment="1" applyProtection="1">
      <alignment horizontal="center" vertical="center"/>
      <protection hidden="1"/>
    </xf>
    <xf numFmtId="49" fontId="7" fillId="11" borderId="15" xfId="0" applyNumberFormat="1" applyFont="1" applyFill="1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68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79" fillId="0" borderId="0" xfId="0" applyFont="1" applyAlignment="1" applyProtection="1">
      <alignment vertical="center"/>
      <protection hidden="1"/>
    </xf>
    <xf numFmtId="0" fontId="69" fillId="0" borderId="0" xfId="0" applyFont="1" applyProtection="1">
      <protection hidden="1"/>
    </xf>
    <xf numFmtId="0" fontId="18" fillId="0" borderId="0" xfId="0" applyFont="1" applyAlignment="1" applyProtection="1">
      <alignment wrapText="1"/>
      <protection hidden="1"/>
    </xf>
    <xf numFmtId="0" fontId="70" fillId="0" borderId="0" xfId="0" applyFont="1" applyProtection="1">
      <protection hidden="1"/>
    </xf>
    <xf numFmtId="0" fontId="65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71" fillId="0" borderId="0" xfId="0" applyFont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66" fillId="0" borderId="0" xfId="0" applyFont="1" applyAlignment="1" applyProtection="1">
      <alignment horizontal="left"/>
      <protection hidden="1"/>
    </xf>
    <xf numFmtId="0" fontId="71" fillId="0" borderId="0" xfId="0" applyFont="1" applyAlignment="1" applyProtection="1">
      <alignment horizontal="left" wrapText="1"/>
      <protection hidden="1"/>
    </xf>
    <xf numFmtId="0" fontId="71" fillId="0" borderId="0" xfId="0" applyFont="1" applyProtection="1">
      <protection hidden="1"/>
    </xf>
    <xf numFmtId="0" fontId="75" fillId="0" borderId="0" xfId="0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/>
      <protection hidden="1"/>
    </xf>
    <xf numFmtId="0" fontId="73" fillId="0" borderId="0" xfId="0" applyFont="1" applyAlignment="1" applyProtection="1">
      <alignment horizontal="left"/>
      <protection hidden="1"/>
    </xf>
    <xf numFmtId="0" fontId="42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left"/>
      <protection hidden="1"/>
    </xf>
    <xf numFmtId="0" fontId="74" fillId="0" borderId="0" xfId="0" applyFont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center"/>
    </xf>
    <xf numFmtId="0" fontId="0" fillId="0" borderId="25" xfId="0" applyBorder="1" applyProtection="1"/>
    <xf numFmtId="0" fontId="0" fillId="0" borderId="26" xfId="0" applyBorder="1" applyProtection="1"/>
    <xf numFmtId="0" fontId="1" fillId="0" borderId="2" xfId="0" applyFont="1" applyBorder="1" applyProtection="1"/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3" fillId="0" borderId="30" xfId="0" applyFont="1" applyFill="1" applyBorder="1" applyAlignment="1" applyProtection="1">
      <alignment horizontal="center" vertical="center"/>
      <protection hidden="1"/>
    </xf>
    <xf numFmtId="0" fontId="80" fillId="11" borderId="140" xfId="0" applyFont="1" applyFill="1" applyBorder="1" applyAlignment="1" applyProtection="1">
      <alignment horizontal="center" vertical="center"/>
      <protection locked="0" hidden="1"/>
    </xf>
    <xf numFmtId="0" fontId="0" fillId="0" borderId="18" xfId="0" applyBorder="1" applyProtection="1"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11" fontId="0" fillId="0" borderId="18" xfId="0" applyNumberFormat="1" applyBorder="1" applyAlignment="1" applyProtection="1">
      <alignment horizontal="center" vertical="center"/>
      <protection hidden="1"/>
    </xf>
    <xf numFmtId="0" fontId="0" fillId="23" borderId="18" xfId="0" applyFill="1" applyBorder="1" applyAlignment="1" applyProtection="1">
      <alignment horizontal="center" vertical="center"/>
      <protection hidden="1"/>
    </xf>
    <xf numFmtId="0" fontId="0" fillId="11" borderId="18" xfId="0" applyFill="1" applyBorder="1" applyAlignment="1" applyProtection="1">
      <alignment horizontal="center" vertical="center"/>
      <protection hidden="1"/>
    </xf>
    <xf numFmtId="170" fontId="33" fillId="0" borderId="18" xfId="0" applyNumberFormat="1" applyFont="1" applyBorder="1" applyAlignment="1" applyProtection="1">
      <alignment horizontal="center" vertical="center"/>
      <protection hidden="1"/>
    </xf>
    <xf numFmtId="0" fontId="33" fillId="0" borderId="18" xfId="0" applyFont="1" applyBorder="1" applyAlignment="1" applyProtection="1">
      <alignment horizontal="center" vertical="center"/>
      <protection hidden="1"/>
    </xf>
    <xf numFmtId="0" fontId="33" fillId="0" borderId="18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18" fillId="0" borderId="3" xfId="0" applyFont="1" applyBorder="1" applyAlignment="1" applyProtection="1">
      <alignment horizontal="left" vertical="center"/>
    </xf>
    <xf numFmtId="0" fontId="18" fillId="0" borderId="29" xfId="0" applyFont="1" applyBorder="1" applyAlignment="1" applyProtection="1">
      <alignment horizontal="left" vertical="center"/>
    </xf>
    <xf numFmtId="0" fontId="18" fillId="0" borderId="43" xfId="0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horizontal="left"/>
    </xf>
    <xf numFmtId="0" fontId="43" fillId="0" borderId="29" xfId="0" applyFont="1" applyBorder="1" applyAlignment="1" applyProtection="1">
      <alignment horizontal="left"/>
    </xf>
    <xf numFmtId="0" fontId="43" fillId="0" borderId="43" xfId="0" applyFont="1" applyBorder="1" applyAlignment="1" applyProtection="1">
      <alignment horizontal="left"/>
    </xf>
    <xf numFmtId="0" fontId="18" fillId="0" borderId="29" xfId="0" applyFont="1" applyBorder="1" applyAlignment="1" applyProtection="1">
      <alignment horizontal="left"/>
    </xf>
    <xf numFmtId="0" fontId="18" fillId="0" borderId="43" xfId="0" applyFont="1" applyBorder="1" applyAlignment="1" applyProtection="1">
      <alignment horizontal="left"/>
    </xf>
    <xf numFmtId="0" fontId="43" fillId="0" borderId="27" xfId="0" applyFont="1" applyBorder="1" applyAlignment="1" applyProtection="1">
      <alignment horizontal="left" vertical="center"/>
    </xf>
    <xf numFmtId="0" fontId="43" fillId="0" borderId="20" xfId="0" applyFont="1" applyBorder="1" applyAlignment="1" applyProtection="1">
      <alignment horizontal="left" vertical="center"/>
    </xf>
    <xf numFmtId="0" fontId="43" fillId="0" borderId="44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20" fillId="0" borderId="29" xfId="0" applyFont="1" applyBorder="1" applyAlignment="1" applyProtection="1">
      <alignment horizontal="left" vertical="center"/>
    </xf>
    <xf numFmtId="0" fontId="20" fillId="0" borderId="43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9" fillId="27" borderId="124" xfId="0" applyFont="1" applyFill="1" applyBorder="1" applyAlignment="1" applyProtection="1">
      <alignment horizontal="left" vertical="center" indent="3"/>
    </xf>
    <xf numFmtId="0" fontId="19" fillId="27" borderId="123" xfId="0" applyFont="1" applyFill="1" applyBorder="1" applyAlignment="1" applyProtection="1">
      <alignment horizontal="left" vertical="center" indent="3"/>
    </xf>
    <xf numFmtId="0" fontId="18" fillId="0" borderId="27" xfId="0" applyFont="1" applyBorder="1" applyAlignment="1" applyProtection="1">
      <alignment horizontal="left"/>
    </xf>
    <xf numFmtId="0" fontId="18" fillId="0" borderId="20" xfId="0" applyFont="1" applyBorder="1" applyAlignment="1" applyProtection="1">
      <alignment horizontal="left"/>
    </xf>
    <xf numFmtId="0" fontId="18" fillId="0" borderId="44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7" fillId="23" borderId="20" xfId="0" applyFont="1" applyFill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left"/>
    </xf>
    <xf numFmtId="0" fontId="18" fillId="0" borderId="29" xfId="0" applyFont="1" applyFill="1" applyBorder="1" applyAlignment="1" applyProtection="1">
      <alignment horizontal="left"/>
    </xf>
    <xf numFmtId="0" fontId="18" fillId="0" borderId="43" xfId="0" applyFont="1" applyFill="1" applyBorder="1" applyAlignment="1" applyProtection="1">
      <alignment horizontal="left"/>
    </xf>
    <xf numFmtId="0" fontId="54" fillId="0" borderId="3" xfId="0" applyFont="1" applyFill="1" applyBorder="1" applyAlignment="1" applyProtection="1">
      <alignment horizontal="center" vertical="center"/>
      <protection locked="0"/>
    </xf>
    <xf numFmtId="0" fontId="54" fillId="0" borderId="29" xfId="0" applyFont="1" applyFill="1" applyBorder="1" applyAlignment="1" applyProtection="1">
      <alignment horizontal="center" vertical="center"/>
      <protection locked="0"/>
    </xf>
    <xf numFmtId="0" fontId="54" fillId="0" borderId="15" xfId="0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center" vertical="center"/>
      <protection locked="0"/>
    </xf>
    <xf numFmtId="0" fontId="41" fillId="0" borderId="29" xfId="0" applyFont="1" applyFill="1" applyBorder="1" applyAlignment="1" applyProtection="1">
      <alignment horizontal="center" vertical="center"/>
      <protection locked="0"/>
    </xf>
    <xf numFmtId="0" fontId="41" fillId="0" borderId="15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76" fillId="0" borderId="0" xfId="0" applyFont="1" applyFill="1" applyBorder="1" applyAlignment="1" applyProtection="1">
      <alignment horizontal="center"/>
    </xf>
    <xf numFmtId="0" fontId="78" fillId="0" borderId="0" xfId="0" applyFont="1" applyAlignment="1" applyProtection="1">
      <alignment horizontal="center"/>
    </xf>
    <xf numFmtId="0" fontId="78" fillId="0" borderId="0" xfId="0" applyFont="1" applyAlignment="1" applyProtection="1"/>
    <xf numFmtId="0" fontId="19" fillId="27" borderId="124" xfId="0" applyFont="1" applyFill="1" applyBorder="1" applyAlignment="1" applyProtection="1">
      <alignment horizontal="left" vertical="center" indent="3"/>
      <protection hidden="1"/>
    </xf>
    <xf numFmtId="0" fontId="19" fillId="27" borderId="123" xfId="0" applyFont="1" applyFill="1" applyBorder="1" applyAlignment="1" applyProtection="1">
      <alignment horizontal="left" vertical="center" indent="3"/>
      <protection hidden="1"/>
    </xf>
    <xf numFmtId="0" fontId="1" fillId="0" borderId="38" xfId="0" applyFont="1" applyBorder="1" applyAlignment="1" applyProtection="1">
      <alignment horizontal="center"/>
      <protection hidden="1"/>
    </xf>
    <xf numFmtId="0" fontId="1" fillId="0" borderId="39" xfId="0" applyFont="1" applyBorder="1" applyAlignment="1" applyProtection="1">
      <alignment horizontal="center"/>
      <protection hidden="1"/>
    </xf>
    <xf numFmtId="0" fontId="23" fillId="3" borderId="40" xfId="0" applyFont="1" applyFill="1" applyBorder="1" applyAlignment="1" applyProtection="1">
      <alignment horizontal="center" vertical="center"/>
      <protection locked="0" hidden="1"/>
    </xf>
    <xf numFmtId="0" fontId="23" fillId="3" borderId="41" xfId="0" applyFont="1" applyFill="1" applyBorder="1" applyAlignment="1" applyProtection="1">
      <alignment horizontal="center" vertical="center"/>
      <protection locked="0" hidden="1"/>
    </xf>
    <xf numFmtId="0" fontId="1" fillId="0" borderId="137" xfId="0" applyFont="1" applyBorder="1" applyAlignment="1" applyProtection="1">
      <alignment horizontal="center"/>
      <protection hidden="1"/>
    </xf>
    <xf numFmtId="0" fontId="1" fillId="0" borderId="138" xfId="0" applyFont="1" applyBorder="1" applyAlignment="1" applyProtection="1">
      <alignment horizontal="center"/>
      <protection hidden="1"/>
    </xf>
    <xf numFmtId="0" fontId="1" fillId="0" borderId="139" xfId="0" applyFont="1" applyBorder="1" applyAlignment="1" applyProtection="1">
      <alignment horizontal="center"/>
      <protection hidden="1"/>
    </xf>
    <xf numFmtId="0" fontId="58" fillId="0" borderId="0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9" fillId="17" borderId="37" xfId="0" applyFont="1" applyFill="1" applyBorder="1" applyAlignment="1" applyProtection="1">
      <alignment horizontal="center"/>
      <protection hidden="1"/>
    </xf>
    <xf numFmtId="0" fontId="19" fillId="17" borderId="42" xfId="0" applyFont="1" applyFill="1" applyBorder="1" applyAlignment="1" applyProtection="1">
      <alignment horizontal="center"/>
      <protection hidden="1"/>
    </xf>
    <xf numFmtId="0" fontId="7" fillId="0" borderId="2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 vertical="center"/>
      <protection hidden="1"/>
    </xf>
    <xf numFmtId="0" fontId="9" fillId="0" borderId="43" xfId="0" applyFont="1" applyBorder="1" applyAlignment="1" applyProtection="1">
      <alignment horizontal="left" vertical="center"/>
      <protection hidden="1"/>
    </xf>
    <xf numFmtId="0" fontId="18" fillId="0" borderId="2" xfId="0" applyFont="1" applyFill="1" applyBorder="1" applyAlignment="1" applyProtection="1">
      <protection hidden="1"/>
    </xf>
    <xf numFmtId="0" fontId="18" fillId="0" borderId="3" xfId="0" applyFont="1" applyFill="1" applyBorder="1" applyAlignment="1" applyProtection="1">
      <protection hidden="1"/>
    </xf>
    <xf numFmtId="0" fontId="20" fillId="0" borderId="3" xfId="0" applyFont="1" applyBorder="1" applyAlignment="1" applyProtection="1">
      <alignment horizontal="left" vertical="center"/>
      <protection hidden="1"/>
    </xf>
    <xf numFmtId="0" fontId="20" fillId="0" borderId="43" xfId="0" applyFont="1" applyBorder="1" applyAlignment="1" applyProtection="1">
      <alignment horizontal="left" vertical="center"/>
      <protection hidden="1"/>
    </xf>
    <xf numFmtId="0" fontId="18" fillId="0" borderId="2" xfId="0" applyFont="1" applyBorder="1" applyAlignment="1" applyProtection="1">
      <protection hidden="1"/>
    </xf>
    <xf numFmtId="0" fontId="18" fillId="0" borderId="3" xfId="0" applyFont="1" applyBorder="1" applyAlignment="1" applyProtection="1">
      <protection hidden="1"/>
    </xf>
    <xf numFmtId="0" fontId="43" fillId="0" borderId="27" xfId="0" applyFont="1" applyBorder="1" applyAlignment="1" applyProtection="1">
      <alignment horizontal="left" vertical="center"/>
      <protection hidden="1"/>
    </xf>
    <xf numFmtId="0" fontId="43" fillId="0" borderId="44" xfId="0" applyFont="1" applyBorder="1" applyAlignment="1" applyProtection="1">
      <alignment horizontal="left" vertical="center"/>
      <protection hidden="1"/>
    </xf>
    <xf numFmtId="0" fontId="58" fillId="11" borderId="0" xfId="0" applyFont="1" applyFill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76" fillId="0" borderId="0" xfId="0" applyFont="1" applyFill="1" applyBorder="1" applyAlignment="1" applyProtection="1">
      <alignment horizontal="center"/>
      <protection hidden="1"/>
    </xf>
    <xf numFmtId="0" fontId="14" fillId="0" borderId="137" xfId="0" applyFont="1" applyBorder="1" applyAlignment="1" applyProtection="1">
      <alignment horizontal="center"/>
      <protection hidden="1"/>
    </xf>
    <xf numFmtId="0" fontId="14" fillId="0" borderId="138" xfId="0" applyFont="1" applyBorder="1" applyAlignment="1" applyProtection="1">
      <alignment horizontal="center"/>
      <protection hidden="1"/>
    </xf>
    <xf numFmtId="0" fontId="14" fillId="0" borderId="139" xfId="0" applyFont="1" applyBorder="1" applyAlignment="1" applyProtection="1">
      <alignment horizontal="center"/>
      <protection hidden="1"/>
    </xf>
    <xf numFmtId="0" fontId="80" fillId="11" borderId="124" xfId="0" applyFont="1" applyFill="1" applyBorder="1" applyAlignment="1" applyProtection="1">
      <alignment horizontal="center" vertical="center"/>
      <protection locked="0"/>
    </xf>
    <xf numFmtId="0" fontId="58" fillId="11" borderId="122" xfId="0" applyFont="1" applyFill="1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left" vertical="center" indent="3"/>
      <protection hidden="1"/>
    </xf>
    <xf numFmtId="0" fontId="19" fillId="27" borderId="122" xfId="0" applyFont="1" applyFill="1" applyBorder="1" applyAlignment="1" applyProtection="1">
      <alignment horizontal="left" vertical="center" indent="3"/>
      <protection hidden="1"/>
    </xf>
    <xf numFmtId="0" fontId="80" fillId="11" borderId="124" xfId="0" applyFont="1" applyFill="1" applyBorder="1" applyAlignment="1" applyProtection="1">
      <alignment horizontal="center" vertical="center"/>
      <protection locked="0" hidden="1"/>
    </xf>
    <xf numFmtId="0" fontId="0" fillId="0" borderId="123" xfId="0" applyBorder="1" applyAlignment="1" applyProtection="1">
      <protection locked="0" hidden="1"/>
    </xf>
    <xf numFmtId="0" fontId="0" fillId="0" borderId="122" xfId="0" applyBorder="1" applyAlignment="1" applyProtection="1">
      <protection locked="0" hidden="1"/>
    </xf>
    <xf numFmtId="0" fontId="7" fillId="23" borderId="20" xfId="0" applyFont="1" applyFill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43" xfId="0" applyFont="1" applyBorder="1" applyAlignment="1" applyProtection="1">
      <alignment horizontal="left"/>
      <protection hidden="1"/>
    </xf>
    <xf numFmtId="0" fontId="23" fillId="3" borderId="12" xfId="0" applyFont="1" applyFill="1" applyBorder="1" applyAlignment="1" applyProtection="1">
      <alignment horizontal="center" vertical="center"/>
      <protection locked="0" hidden="1"/>
    </xf>
    <xf numFmtId="0" fontId="23" fillId="3" borderId="26" xfId="0" applyFont="1" applyFill="1" applyBorder="1" applyAlignment="1" applyProtection="1">
      <alignment horizontal="center" vertical="center"/>
      <protection locked="0" hidden="1"/>
    </xf>
    <xf numFmtId="0" fontId="18" fillId="0" borderId="3" xfId="0" applyFont="1" applyFill="1" applyBorder="1" applyAlignment="1" applyProtection="1">
      <alignment horizontal="left"/>
      <protection hidden="1"/>
    </xf>
    <xf numFmtId="0" fontId="18" fillId="0" borderId="43" xfId="0" applyFont="1" applyFill="1" applyBorder="1" applyAlignment="1" applyProtection="1">
      <alignment horizontal="left"/>
      <protection hidden="1"/>
    </xf>
    <xf numFmtId="0" fontId="0" fillId="0" borderId="123" xfId="0" applyBorder="1" applyAlignment="1" applyProtection="1">
      <protection locked="0"/>
    </xf>
    <xf numFmtId="0" fontId="0" fillId="0" borderId="122" xfId="0" applyBorder="1" applyAlignment="1" applyProtection="1">
      <protection locked="0"/>
    </xf>
    <xf numFmtId="0" fontId="23" fillId="3" borderId="30" xfId="0" applyFont="1" applyFill="1" applyBorder="1" applyAlignment="1" applyProtection="1">
      <alignment horizontal="center" vertical="center"/>
      <protection locked="0" hidden="1"/>
    </xf>
    <xf numFmtId="0" fontId="19" fillId="10" borderId="37" xfId="0" applyFont="1" applyFill="1" applyBorder="1" applyAlignment="1" applyProtection="1">
      <alignment horizontal="center"/>
      <protection hidden="1"/>
    </xf>
    <xf numFmtId="0" fontId="19" fillId="10" borderId="42" xfId="0" applyFont="1" applyFill="1" applyBorder="1" applyAlignment="1" applyProtection="1">
      <alignment horizontal="center"/>
      <protection hidden="1"/>
    </xf>
    <xf numFmtId="0" fontId="54" fillId="0" borderId="3" xfId="0" applyFont="1" applyFill="1" applyBorder="1" applyAlignment="1" applyProtection="1">
      <alignment horizontal="center" vertical="center"/>
      <protection locked="0" hidden="1"/>
    </xf>
    <xf numFmtId="0" fontId="54" fillId="0" borderId="29" xfId="0" applyFont="1" applyFill="1" applyBorder="1" applyAlignment="1" applyProtection="1">
      <alignment horizontal="center" vertical="center"/>
      <protection locked="0" hidden="1"/>
    </xf>
    <xf numFmtId="0" fontId="54" fillId="0" borderId="15" xfId="0" applyFont="1" applyFill="1" applyBorder="1" applyAlignment="1" applyProtection="1">
      <alignment horizontal="center" vertical="center"/>
      <protection locked="0" hidden="1"/>
    </xf>
    <xf numFmtId="0" fontId="41" fillId="0" borderId="3" xfId="0" applyFont="1" applyFill="1" applyBorder="1" applyAlignment="1" applyProtection="1">
      <alignment horizontal="center" vertical="center"/>
      <protection locked="0" hidden="1"/>
    </xf>
    <xf numFmtId="0" fontId="41" fillId="0" borderId="29" xfId="0" applyFont="1" applyFill="1" applyBorder="1" applyAlignment="1" applyProtection="1">
      <alignment horizontal="center" vertical="center"/>
      <protection locked="0" hidden="1"/>
    </xf>
    <xf numFmtId="0" fontId="41" fillId="0" borderId="15" xfId="0" applyFont="1" applyFill="1" applyBorder="1" applyAlignment="1" applyProtection="1">
      <alignment horizontal="center" vertical="center"/>
      <protection locked="0" hidden="1"/>
    </xf>
    <xf numFmtId="0" fontId="18" fillId="0" borderId="3" xfId="0" applyFont="1" applyFill="1" applyBorder="1" applyAlignment="1" applyProtection="1">
      <alignment horizontal="center" vertical="center"/>
      <protection locked="0" hidden="1"/>
    </xf>
    <xf numFmtId="0" fontId="18" fillId="0" borderId="29" xfId="0" applyFont="1" applyFill="1" applyBorder="1" applyAlignment="1" applyProtection="1">
      <alignment horizontal="center" vertical="center"/>
      <protection locked="0" hidden="1"/>
    </xf>
    <xf numFmtId="0" fontId="18" fillId="0" borderId="15" xfId="0" applyFont="1" applyFill="1" applyBorder="1" applyAlignment="1" applyProtection="1">
      <alignment horizontal="center" vertical="center"/>
      <protection locked="0" hidden="1"/>
    </xf>
  </cellXfs>
  <cellStyles count="2">
    <cellStyle name="Обычный" xfId="0" builtinId="0"/>
    <cellStyle name="Обычный 2" xfId="1" xr:uid="{15AE100D-A900-4740-AA72-B9D41E8D3F7F}"/>
  </cellStyles>
  <dxfs count="65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CCFFFF"/>
      <color rgb="FF00FFFF"/>
      <color rgb="FFFF9900"/>
      <color rgb="FFFF6600"/>
      <color rgb="FF669900"/>
      <color rgb="FF943B1C"/>
      <color rgb="FFFF3399"/>
      <color rgb="FFFF99FF"/>
      <color rgb="FF03ED14"/>
      <color rgb="FF12EE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'&#1057;&#1093;&#1077;&#1084;&#1072; 5'!A1"/><Relationship Id="rId18" Type="http://schemas.openxmlformats.org/officeDocument/2006/relationships/image" Target="../media/image11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#'&#1057;&#1093;&#1077;&#1084;&#1072; 4_&#1074;&#1072;&#1088;&#1080;&#1072;&#1085;&#1090; 2'!A1"/><Relationship Id="rId17" Type="http://schemas.openxmlformats.org/officeDocument/2006/relationships/hyperlink" Target="#'&#1057;&#1093;&#1077;&#1084;&#1072; 1'!A1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#'&#1057;&#1093;&#1077;&#1084;&#1072; 4_&#1074;&#1072;&#1088;&#1080;&#1072;&#1085;&#1090; 1'!A1"/><Relationship Id="rId5" Type="http://schemas.openxmlformats.org/officeDocument/2006/relationships/image" Target="../media/image5.png"/><Relationship Id="rId15" Type="http://schemas.openxmlformats.org/officeDocument/2006/relationships/image" Target="../media/image9.png"/><Relationship Id="rId10" Type="http://schemas.openxmlformats.org/officeDocument/2006/relationships/hyperlink" Target="#'&#1057;&#1093;&#1077;&#1084;&#1072; 3_&#1074;&#1072;&#1088;&#1080;&#1072;&#1085;&#1090; 2'!A1"/><Relationship Id="rId19" Type="http://schemas.openxmlformats.org/officeDocument/2006/relationships/hyperlink" Target="#'&#1057;&#1093;&#1077;&#1084;&#1072; 2'!A1"/><Relationship Id="rId4" Type="http://schemas.openxmlformats.org/officeDocument/2006/relationships/image" Target="../media/image4.png"/><Relationship Id="rId9" Type="http://schemas.openxmlformats.org/officeDocument/2006/relationships/hyperlink" Target="#'&#1057;&#1093;&#1077;&#1084;&#1072; 3_&#1074;&#1072;&#1088;&#1080;&#1072;&#1085;&#1090; 1'!A1"/><Relationship Id="rId14" Type="http://schemas.openxmlformats.org/officeDocument/2006/relationships/hyperlink" Target="#'&#1057;&#1093;&#1077;&#1084;&#1072; 6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27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42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63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83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110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134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158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A185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143195</xdr:colOff>
      <xdr:row>64</xdr:row>
      <xdr:rowOff>16486</xdr:rowOff>
    </xdr:from>
    <xdr:to>
      <xdr:col>0</xdr:col>
      <xdr:colOff>6184846</xdr:colOff>
      <xdr:row>78</xdr:row>
      <xdr:rowOff>26572</xdr:rowOff>
    </xdr:to>
    <xdr:pic>
      <xdr:nvPicPr>
        <xdr:cNvPr id="124833" name="Picture 2" descr="Сх5">
          <a:extLst>
            <a:ext uri="{FF2B5EF4-FFF2-40B4-BE49-F238E27FC236}">
              <a16:creationId xmlns:a16="http://schemas.microsoft.com/office/drawing/2014/main" id="{00000000-0008-0000-0000-0000A1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5" y="16059307"/>
          <a:ext cx="6041651" cy="22960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141595</xdr:colOff>
      <xdr:row>84</xdr:row>
      <xdr:rowOff>6404</xdr:rowOff>
    </xdr:from>
    <xdr:to>
      <xdr:col>0</xdr:col>
      <xdr:colOff>6140104</xdr:colOff>
      <xdr:row>98</xdr:row>
      <xdr:rowOff>12007</xdr:rowOff>
    </xdr:to>
    <xdr:pic>
      <xdr:nvPicPr>
        <xdr:cNvPr id="124834" name="Picture 3" descr="Сх6">
          <a:extLst>
            <a:ext uri="{FF2B5EF4-FFF2-40B4-BE49-F238E27FC236}">
              <a16:creationId xmlns:a16="http://schemas.microsoft.com/office/drawing/2014/main" id="{00000000-0008-0000-0000-0000A2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95" y="19464618"/>
          <a:ext cx="5998509" cy="2291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166407</xdr:colOff>
      <xdr:row>111</xdr:row>
      <xdr:rowOff>63874</xdr:rowOff>
    </xdr:from>
    <xdr:to>
      <xdr:col>0</xdr:col>
      <xdr:colOff>6917951</xdr:colOff>
      <xdr:row>128</xdr:row>
      <xdr:rowOff>112061</xdr:rowOff>
    </xdr:to>
    <xdr:pic>
      <xdr:nvPicPr>
        <xdr:cNvPr id="124835" name="Picture 5" descr="Сх3">
          <a:extLst>
            <a:ext uri="{FF2B5EF4-FFF2-40B4-BE49-F238E27FC236}">
              <a16:creationId xmlns:a16="http://schemas.microsoft.com/office/drawing/2014/main" id="{00000000-0008-0000-0000-0000A3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07" y="19606933"/>
          <a:ext cx="6751544" cy="278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207869</xdr:colOff>
      <xdr:row>135</xdr:row>
      <xdr:rowOff>121583</xdr:rowOff>
    </xdr:from>
    <xdr:to>
      <xdr:col>0</xdr:col>
      <xdr:colOff>6873688</xdr:colOff>
      <xdr:row>152</xdr:row>
      <xdr:rowOff>146235</xdr:rowOff>
    </xdr:to>
    <xdr:pic>
      <xdr:nvPicPr>
        <xdr:cNvPr id="124836" name="Picture 6" descr="Сх2">
          <a:extLst>
            <a:ext uri="{FF2B5EF4-FFF2-40B4-BE49-F238E27FC236}">
              <a16:creationId xmlns:a16="http://schemas.microsoft.com/office/drawing/2014/main" id="{00000000-0008-0000-0000-0000A4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23564289"/>
          <a:ext cx="6665819" cy="269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148798</xdr:colOff>
      <xdr:row>188</xdr:row>
      <xdr:rowOff>8405</xdr:rowOff>
    </xdr:from>
    <xdr:to>
      <xdr:col>0</xdr:col>
      <xdr:colOff>5766307</xdr:colOff>
      <xdr:row>201</xdr:row>
      <xdr:rowOff>27457</xdr:rowOff>
    </xdr:to>
    <xdr:pic>
      <xdr:nvPicPr>
        <xdr:cNvPr id="124837" name="Picture 8" descr="Сх_3тр">
          <a:extLst>
            <a:ext uri="{FF2B5EF4-FFF2-40B4-BE49-F238E27FC236}">
              <a16:creationId xmlns:a16="http://schemas.microsoft.com/office/drawing/2014/main" id="{00000000-0008-0000-0000-0000A5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98" y="37700191"/>
          <a:ext cx="5617509" cy="2141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188819</xdr:colOff>
      <xdr:row>161</xdr:row>
      <xdr:rowOff>78442</xdr:rowOff>
    </xdr:from>
    <xdr:to>
      <xdr:col>0</xdr:col>
      <xdr:colOff>5996828</xdr:colOff>
      <xdr:row>180</xdr:row>
      <xdr:rowOff>26333</xdr:rowOff>
    </xdr:to>
    <xdr:pic>
      <xdr:nvPicPr>
        <xdr:cNvPr id="124838" name="Picture 9" descr="Сх_4тр">
          <a:extLst>
            <a:ext uri="{FF2B5EF4-FFF2-40B4-BE49-F238E27FC236}">
              <a16:creationId xmlns:a16="http://schemas.microsoft.com/office/drawing/2014/main" id="{00000000-0008-0000-0000-0000A6E7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19" y="28194001"/>
          <a:ext cx="5808009" cy="2928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204</xdr:row>
      <xdr:rowOff>29482</xdr:rowOff>
    </xdr:from>
    <xdr:to>
      <xdr:col>1</xdr:col>
      <xdr:colOff>13607</xdr:colOff>
      <xdr:row>214</xdr:row>
      <xdr:rowOff>70485</xdr:rowOff>
    </xdr:to>
    <xdr:grpSp>
      <xdr:nvGrpSpPr>
        <xdr:cNvPr id="35" name="object 843">
          <a:extLst>
            <a:ext uri="{FF2B5EF4-FFF2-40B4-BE49-F238E27FC236}">
              <a16:creationId xmlns:a16="http://schemas.microsoft.com/office/drawing/2014/main" id="{9FD9BBD4-B925-4ACF-A6B3-CE708056C14F}"/>
            </a:ext>
          </a:extLst>
        </xdr:cNvPr>
        <xdr:cNvGrpSpPr/>
      </xdr:nvGrpSpPr>
      <xdr:grpSpPr>
        <a:xfrm>
          <a:off x="0" y="39141213"/>
          <a:ext cx="14344329" cy="1641844"/>
          <a:chOff x="0" y="2667473"/>
          <a:chExt cx="14292580" cy="1673860"/>
        </a:xfrm>
      </xdr:grpSpPr>
      <xdr:sp macro="" textlink="">
        <xdr:nvSpPr>
          <xdr:cNvPr id="44" name="object 844">
            <a:extLst>
              <a:ext uri="{FF2B5EF4-FFF2-40B4-BE49-F238E27FC236}">
                <a16:creationId xmlns:a16="http://schemas.microsoft.com/office/drawing/2014/main" id="{AB03B966-3F2F-41CA-B823-7AE9A4126336}"/>
              </a:ext>
            </a:extLst>
          </xdr:cNvPr>
          <xdr:cNvSpPr/>
        </xdr:nvSpPr>
        <xdr:spPr>
          <a:xfrm>
            <a:off x="0" y="2667473"/>
            <a:ext cx="14292580" cy="1673860"/>
          </a:xfrm>
          <a:custGeom>
            <a:avLst/>
            <a:gdLst/>
            <a:ahLst/>
            <a:cxnLst/>
            <a:rect l="l" t="t" r="r" b="b"/>
            <a:pathLst>
              <a:path w="14292580" h="1673860">
                <a:moveTo>
                  <a:pt x="14291999" y="0"/>
                </a:moveTo>
                <a:lnTo>
                  <a:pt x="0" y="0"/>
                </a:lnTo>
                <a:lnTo>
                  <a:pt x="0" y="1673244"/>
                </a:lnTo>
                <a:lnTo>
                  <a:pt x="14291999" y="1673244"/>
                </a:lnTo>
                <a:lnTo>
                  <a:pt x="14291999" y="0"/>
                </a:lnTo>
                <a:close/>
              </a:path>
            </a:pathLst>
          </a:custGeom>
          <a:solidFill>
            <a:srgbClr val="F69801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pic>
        <xdr:nvPicPr>
          <xdr:cNvPr id="45" name="object 845">
            <a:extLst>
              <a:ext uri="{FF2B5EF4-FFF2-40B4-BE49-F238E27FC236}">
                <a16:creationId xmlns:a16="http://schemas.microsoft.com/office/drawing/2014/main" id="{9972BC4C-ED66-40C7-903A-B52AB6CB0879}"/>
              </a:ext>
            </a:extLst>
          </xdr:cNvPr>
          <xdr:cNvPicPr/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2759524" y="2982754"/>
            <a:ext cx="1673194" cy="762005"/>
          </a:xfrm>
          <a:prstGeom prst="rect">
            <a:avLst/>
          </a:prstGeom>
        </xdr:spPr>
      </xdr:pic>
      <xdr:sp macro="" textlink="">
        <xdr:nvSpPr>
          <xdr:cNvPr id="46" name="object 846">
            <a:extLst>
              <a:ext uri="{FF2B5EF4-FFF2-40B4-BE49-F238E27FC236}">
                <a16:creationId xmlns:a16="http://schemas.microsoft.com/office/drawing/2014/main" id="{F5089FAC-D68E-41F5-8CB8-1C174E980B45}"/>
              </a:ext>
            </a:extLst>
          </xdr:cNvPr>
          <xdr:cNvSpPr/>
        </xdr:nvSpPr>
        <xdr:spPr>
          <a:xfrm>
            <a:off x="5444286" y="2994760"/>
            <a:ext cx="1075055" cy="1061720"/>
          </a:xfrm>
          <a:custGeom>
            <a:avLst/>
            <a:gdLst/>
            <a:ahLst/>
            <a:cxnLst/>
            <a:rect l="l" t="t" r="r" b="b"/>
            <a:pathLst>
              <a:path w="1075054" h="1061720">
                <a:moveTo>
                  <a:pt x="1074920" y="0"/>
                </a:moveTo>
                <a:lnTo>
                  <a:pt x="0" y="0"/>
                </a:lnTo>
                <a:lnTo>
                  <a:pt x="0" y="1061518"/>
                </a:lnTo>
                <a:lnTo>
                  <a:pt x="1074920" y="1061518"/>
                </a:lnTo>
                <a:lnTo>
                  <a:pt x="107492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7" name="object 847">
            <a:extLst>
              <a:ext uri="{FF2B5EF4-FFF2-40B4-BE49-F238E27FC236}">
                <a16:creationId xmlns:a16="http://schemas.microsoft.com/office/drawing/2014/main" id="{F51913DA-C0C5-4A6C-8508-2E6978F902BC}"/>
              </a:ext>
            </a:extLst>
          </xdr:cNvPr>
          <xdr:cNvSpPr/>
        </xdr:nvSpPr>
        <xdr:spPr>
          <a:xfrm>
            <a:off x="5497563" y="3031700"/>
            <a:ext cx="977900" cy="337185"/>
          </a:xfrm>
          <a:custGeom>
            <a:avLst/>
            <a:gdLst/>
            <a:ahLst/>
            <a:cxnLst/>
            <a:rect l="l" t="t" r="r" b="b"/>
            <a:pathLst>
              <a:path w="977900" h="337185">
                <a:moveTo>
                  <a:pt x="33718" y="303403"/>
                </a:moveTo>
                <a:lnTo>
                  <a:pt x="0" y="303403"/>
                </a:lnTo>
                <a:lnTo>
                  <a:pt x="0" y="337108"/>
                </a:lnTo>
                <a:lnTo>
                  <a:pt x="33718" y="337108"/>
                </a:lnTo>
                <a:lnTo>
                  <a:pt x="33718" y="303403"/>
                </a:lnTo>
                <a:close/>
              </a:path>
              <a:path w="977900" h="337185">
                <a:moveTo>
                  <a:pt x="67424" y="269697"/>
                </a:moveTo>
                <a:lnTo>
                  <a:pt x="33718" y="269697"/>
                </a:lnTo>
                <a:lnTo>
                  <a:pt x="33718" y="303403"/>
                </a:lnTo>
                <a:lnTo>
                  <a:pt x="67424" y="303403"/>
                </a:lnTo>
                <a:lnTo>
                  <a:pt x="67424" y="269697"/>
                </a:lnTo>
                <a:close/>
              </a:path>
              <a:path w="977900" h="337185">
                <a:moveTo>
                  <a:pt x="168567" y="67424"/>
                </a:moveTo>
                <a:lnTo>
                  <a:pt x="134848" y="67424"/>
                </a:lnTo>
                <a:lnTo>
                  <a:pt x="101142" y="67424"/>
                </a:lnTo>
                <a:lnTo>
                  <a:pt x="67424" y="67424"/>
                </a:lnTo>
                <a:lnTo>
                  <a:pt x="67424" y="168554"/>
                </a:lnTo>
                <a:lnTo>
                  <a:pt x="101142" y="168554"/>
                </a:lnTo>
                <a:lnTo>
                  <a:pt x="134848" y="168554"/>
                </a:lnTo>
                <a:lnTo>
                  <a:pt x="168567" y="168554"/>
                </a:lnTo>
                <a:lnTo>
                  <a:pt x="168567" y="67424"/>
                </a:lnTo>
                <a:close/>
              </a:path>
              <a:path w="977900" h="337185">
                <a:moveTo>
                  <a:pt x="235978" y="168567"/>
                </a:moveTo>
                <a:lnTo>
                  <a:pt x="202272" y="168567"/>
                </a:lnTo>
                <a:lnTo>
                  <a:pt x="202272" y="202272"/>
                </a:lnTo>
                <a:lnTo>
                  <a:pt x="168567" y="202272"/>
                </a:lnTo>
                <a:lnTo>
                  <a:pt x="134848" y="202272"/>
                </a:lnTo>
                <a:lnTo>
                  <a:pt x="101142" y="202272"/>
                </a:lnTo>
                <a:lnTo>
                  <a:pt x="67424" y="202272"/>
                </a:lnTo>
                <a:lnTo>
                  <a:pt x="33718" y="202272"/>
                </a:lnTo>
                <a:lnTo>
                  <a:pt x="33718" y="168567"/>
                </a:lnTo>
                <a:lnTo>
                  <a:pt x="0" y="168567"/>
                </a:lnTo>
                <a:lnTo>
                  <a:pt x="0" y="235978"/>
                </a:lnTo>
                <a:lnTo>
                  <a:pt x="33718" y="235978"/>
                </a:lnTo>
                <a:lnTo>
                  <a:pt x="67424" y="235978"/>
                </a:lnTo>
                <a:lnTo>
                  <a:pt x="235978" y="235978"/>
                </a:lnTo>
                <a:lnTo>
                  <a:pt x="235978" y="168567"/>
                </a:lnTo>
                <a:close/>
              </a:path>
              <a:path w="977900" h="337185">
                <a:moveTo>
                  <a:pt x="235978" y="0"/>
                </a:moveTo>
                <a:lnTo>
                  <a:pt x="235978" y="0"/>
                </a:lnTo>
                <a:lnTo>
                  <a:pt x="0" y="0"/>
                </a:lnTo>
                <a:lnTo>
                  <a:pt x="0" y="168554"/>
                </a:lnTo>
                <a:lnTo>
                  <a:pt x="33718" y="168554"/>
                </a:lnTo>
                <a:lnTo>
                  <a:pt x="33718" y="33718"/>
                </a:lnTo>
                <a:lnTo>
                  <a:pt x="67424" y="33718"/>
                </a:lnTo>
                <a:lnTo>
                  <a:pt x="101142" y="33718"/>
                </a:lnTo>
                <a:lnTo>
                  <a:pt x="134848" y="33718"/>
                </a:lnTo>
                <a:lnTo>
                  <a:pt x="168567" y="33718"/>
                </a:lnTo>
                <a:lnTo>
                  <a:pt x="202272" y="33718"/>
                </a:lnTo>
                <a:lnTo>
                  <a:pt x="202272" y="168554"/>
                </a:lnTo>
                <a:lnTo>
                  <a:pt x="235978" y="168554"/>
                </a:lnTo>
                <a:lnTo>
                  <a:pt x="235978" y="0"/>
                </a:lnTo>
                <a:close/>
              </a:path>
              <a:path w="977900" h="337185">
                <a:moveTo>
                  <a:pt x="303403" y="168567"/>
                </a:moveTo>
                <a:lnTo>
                  <a:pt x="269697" y="168567"/>
                </a:lnTo>
                <a:lnTo>
                  <a:pt x="269697" y="235978"/>
                </a:lnTo>
                <a:lnTo>
                  <a:pt x="303403" y="235978"/>
                </a:lnTo>
                <a:lnTo>
                  <a:pt x="303403" y="168567"/>
                </a:lnTo>
                <a:close/>
              </a:path>
              <a:path w="977900" h="337185">
                <a:moveTo>
                  <a:pt x="303403" y="134848"/>
                </a:moveTo>
                <a:lnTo>
                  <a:pt x="269697" y="134848"/>
                </a:lnTo>
                <a:lnTo>
                  <a:pt x="269697" y="168554"/>
                </a:lnTo>
                <a:lnTo>
                  <a:pt x="303403" y="168554"/>
                </a:lnTo>
                <a:lnTo>
                  <a:pt x="303403" y="134848"/>
                </a:lnTo>
                <a:close/>
              </a:path>
              <a:path w="977900" h="337185">
                <a:moveTo>
                  <a:pt x="370827" y="0"/>
                </a:moveTo>
                <a:lnTo>
                  <a:pt x="337108" y="0"/>
                </a:lnTo>
                <a:lnTo>
                  <a:pt x="303403" y="0"/>
                </a:lnTo>
                <a:lnTo>
                  <a:pt x="303403" y="67424"/>
                </a:lnTo>
                <a:lnTo>
                  <a:pt x="269697" y="67424"/>
                </a:lnTo>
                <a:lnTo>
                  <a:pt x="269697" y="101142"/>
                </a:lnTo>
                <a:lnTo>
                  <a:pt x="303403" y="101142"/>
                </a:lnTo>
                <a:lnTo>
                  <a:pt x="337108" y="101142"/>
                </a:lnTo>
                <a:lnTo>
                  <a:pt x="337108" y="33718"/>
                </a:lnTo>
                <a:lnTo>
                  <a:pt x="370827" y="33718"/>
                </a:lnTo>
                <a:lnTo>
                  <a:pt x="370827" y="0"/>
                </a:lnTo>
                <a:close/>
              </a:path>
              <a:path w="977900" h="337185">
                <a:moveTo>
                  <a:pt x="404533" y="168567"/>
                </a:moveTo>
                <a:lnTo>
                  <a:pt x="370827" y="168567"/>
                </a:lnTo>
                <a:lnTo>
                  <a:pt x="337108" y="168567"/>
                </a:lnTo>
                <a:lnTo>
                  <a:pt x="337108" y="235978"/>
                </a:lnTo>
                <a:lnTo>
                  <a:pt x="303403" y="235978"/>
                </a:lnTo>
                <a:lnTo>
                  <a:pt x="303403" y="269684"/>
                </a:lnTo>
                <a:lnTo>
                  <a:pt x="337108" y="269684"/>
                </a:lnTo>
                <a:lnTo>
                  <a:pt x="370827" y="269684"/>
                </a:lnTo>
                <a:lnTo>
                  <a:pt x="404533" y="269684"/>
                </a:lnTo>
                <a:lnTo>
                  <a:pt x="404533" y="235978"/>
                </a:lnTo>
                <a:lnTo>
                  <a:pt x="370827" y="235978"/>
                </a:lnTo>
                <a:lnTo>
                  <a:pt x="370827" y="202272"/>
                </a:lnTo>
                <a:lnTo>
                  <a:pt x="404533" y="202272"/>
                </a:lnTo>
                <a:lnTo>
                  <a:pt x="404533" y="168567"/>
                </a:lnTo>
                <a:close/>
              </a:path>
              <a:path w="977900" h="337185">
                <a:moveTo>
                  <a:pt x="438238" y="202272"/>
                </a:moveTo>
                <a:lnTo>
                  <a:pt x="404533" y="202272"/>
                </a:lnTo>
                <a:lnTo>
                  <a:pt x="404533" y="235978"/>
                </a:lnTo>
                <a:lnTo>
                  <a:pt x="438238" y="235978"/>
                </a:lnTo>
                <a:lnTo>
                  <a:pt x="438238" y="202272"/>
                </a:lnTo>
                <a:close/>
              </a:path>
              <a:path w="977900" h="337185">
                <a:moveTo>
                  <a:pt x="471944" y="235978"/>
                </a:moveTo>
                <a:lnTo>
                  <a:pt x="438238" y="235978"/>
                </a:lnTo>
                <a:lnTo>
                  <a:pt x="438238" y="269684"/>
                </a:lnTo>
                <a:lnTo>
                  <a:pt x="471944" y="269684"/>
                </a:lnTo>
                <a:lnTo>
                  <a:pt x="471944" y="235978"/>
                </a:lnTo>
                <a:close/>
              </a:path>
              <a:path w="977900" h="337185">
                <a:moveTo>
                  <a:pt x="471944" y="168567"/>
                </a:moveTo>
                <a:lnTo>
                  <a:pt x="438238" y="168567"/>
                </a:lnTo>
                <a:lnTo>
                  <a:pt x="438238" y="202272"/>
                </a:lnTo>
                <a:lnTo>
                  <a:pt x="471944" y="202272"/>
                </a:lnTo>
                <a:lnTo>
                  <a:pt x="471944" y="168567"/>
                </a:lnTo>
                <a:close/>
              </a:path>
              <a:path w="977900" h="337185">
                <a:moveTo>
                  <a:pt x="471944" y="67424"/>
                </a:moveTo>
                <a:lnTo>
                  <a:pt x="438238" y="67424"/>
                </a:lnTo>
                <a:lnTo>
                  <a:pt x="438238" y="101142"/>
                </a:lnTo>
                <a:lnTo>
                  <a:pt x="404533" y="101142"/>
                </a:lnTo>
                <a:lnTo>
                  <a:pt x="404533" y="67424"/>
                </a:lnTo>
                <a:lnTo>
                  <a:pt x="438238" y="67424"/>
                </a:lnTo>
                <a:lnTo>
                  <a:pt x="438238" y="0"/>
                </a:lnTo>
                <a:lnTo>
                  <a:pt x="404533" y="0"/>
                </a:lnTo>
                <a:lnTo>
                  <a:pt x="404533" y="33718"/>
                </a:lnTo>
                <a:lnTo>
                  <a:pt x="370827" y="33718"/>
                </a:lnTo>
                <a:lnTo>
                  <a:pt x="370827" y="168554"/>
                </a:lnTo>
                <a:lnTo>
                  <a:pt x="404533" y="168554"/>
                </a:lnTo>
                <a:lnTo>
                  <a:pt x="404533" y="134848"/>
                </a:lnTo>
                <a:lnTo>
                  <a:pt x="438238" y="134848"/>
                </a:lnTo>
                <a:lnTo>
                  <a:pt x="438238" y="168554"/>
                </a:lnTo>
                <a:lnTo>
                  <a:pt x="471944" y="168554"/>
                </a:lnTo>
                <a:lnTo>
                  <a:pt x="471944" y="67424"/>
                </a:lnTo>
                <a:close/>
              </a:path>
              <a:path w="977900" h="337185">
                <a:moveTo>
                  <a:pt x="505663" y="168567"/>
                </a:moveTo>
                <a:lnTo>
                  <a:pt x="471957" y="168567"/>
                </a:lnTo>
                <a:lnTo>
                  <a:pt x="471957" y="235978"/>
                </a:lnTo>
                <a:lnTo>
                  <a:pt x="505663" y="235978"/>
                </a:lnTo>
                <a:lnTo>
                  <a:pt x="505663" y="168567"/>
                </a:lnTo>
                <a:close/>
              </a:path>
              <a:path w="977900" h="337185">
                <a:moveTo>
                  <a:pt x="539381" y="67424"/>
                </a:moveTo>
                <a:lnTo>
                  <a:pt x="505663" y="67424"/>
                </a:lnTo>
                <a:lnTo>
                  <a:pt x="505663" y="101142"/>
                </a:lnTo>
                <a:lnTo>
                  <a:pt x="539381" y="101142"/>
                </a:lnTo>
                <a:lnTo>
                  <a:pt x="539381" y="67424"/>
                </a:lnTo>
                <a:close/>
              </a:path>
              <a:path w="977900" h="337185">
                <a:moveTo>
                  <a:pt x="573087" y="33718"/>
                </a:moveTo>
                <a:lnTo>
                  <a:pt x="539381" y="33718"/>
                </a:lnTo>
                <a:lnTo>
                  <a:pt x="539381" y="67424"/>
                </a:lnTo>
                <a:lnTo>
                  <a:pt x="573087" y="67424"/>
                </a:lnTo>
                <a:lnTo>
                  <a:pt x="573087" y="33718"/>
                </a:lnTo>
                <a:close/>
              </a:path>
              <a:path w="977900" h="337185">
                <a:moveTo>
                  <a:pt x="606806" y="168567"/>
                </a:moveTo>
                <a:lnTo>
                  <a:pt x="573087" y="168567"/>
                </a:lnTo>
                <a:lnTo>
                  <a:pt x="539381" y="168567"/>
                </a:lnTo>
                <a:lnTo>
                  <a:pt x="539381" y="235978"/>
                </a:lnTo>
                <a:lnTo>
                  <a:pt x="505663" y="235978"/>
                </a:lnTo>
                <a:lnTo>
                  <a:pt x="505663" y="269684"/>
                </a:lnTo>
                <a:lnTo>
                  <a:pt x="539381" y="269684"/>
                </a:lnTo>
                <a:lnTo>
                  <a:pt x="573087" y="269684"/>
                </a:lnTo>
                <a:lnTo>
                  <a:pt x="573087" y="202272"/>
                </a:lnTo>
                <a:lnTo>
                  <a:pt x="606806" y="202272"/>
                </a:lnTo>
                <a:lnTo>
                  <a:pt x="606806" y="168567"/>
                </a:lnTo>
                <a:close/>
              </a:path>
              <a:path w="977900" h="337185">
                <a:moveTo>
                  <a:pt x="606806" y="67424"/>
                </a:moveTo>
                <a:lnTo>
                  <a:pt x="573087" y="67424"/>
                </a:lnTo>
                <a:lnTo>
                  <a:pt x="573087" y="101142"/>
                </a:lnTo>
                <a:lnTo>
                  <a:pt x="606806" y="101142"/>
                </a:lnTo>
                <a:lnTo>
                  <a:pt x="606806" y="67424"/>
                </a:lnTo>
                <a:close/>
              </a:path>
              <a:path w="977900" h="337185">
                <a:moveTo>
                  <a:pt x="640511" y="202272"/>
                </a:moveTo>
                <a:lnTo>
                  <a:pt x="606806" y="202272"/>
                </a:lnTo>
                <a:lnTo>
                  <a:pt x="606806" y="235978"/>
                </a:lnTo>
                <a:lnTo>
                  <a:pt x="640511" y="235978"/>
                </a:lnTo>
                <a:lnTo>
                  <a:pt x="640511" y="202272"/>
                </a:lnTo>
                <a:close/>
              </a:path>
              <a:path w="977900" h="337185">
                <a:moveTo>
                  <a:pt x="640511" y="101142"/>
                </a:moveTo>
                <a:lnTo>
                  <a:pt x="606806" y="101142"/>
                </a:lnTo>
                <a:lnTo>
                  <a:pt x="606806" y="134848"/>
                </a:lnTo>
                <a:lnTo>
                  <a:pt x="573087" y="134848"/>
                </a:lnTo>
                <a:lnTo>
                  <a:pt x="573087" y="101142"/>
                </a:lnTo>
                <a:lnTo>
                  <a:pt x="539381" y="101142"/>
                </a:lnTo>
                <a:lnTo>
                  <a:pt x="539381" y="134848"/>
                </a:lnTo>
                <a:lnTo>
                  <a:pt x="505663" y="134848"/>
                </a:lnTo>
                <a:lnTo>
                  <a:pt x="505663" y="101142"/>
                </a:lnTo>
                <a:lnTo>
                  <a:pt x="471957" y="101142"/>
                </a:lnTo>
                <a:lnTo>
                  <a:pt x="471957" y="168554"/>
                </a:lnTo>
                <a:lnTo>
                  <a:pt x="505663" y="168554"/>
                </a:lnTo>
                <a:lnTo>
                  <a:pt x="539381" y="168554"/>
                </a:lnTo>
                <a:lnTo>
                  <a:pt x="573087" y="168554"/>
                </a:lnTo>
                <a:lnTo>
                  <a:pt x="606806" y="168554"/>
                </a:lnTo>
                <a:lnTo>
                  <a:pt x="640511" y="168554"/>
                </a:lnTo>
                <a:lnTo>
                  <a:pt x="640511" y="101142"/>
                </a:lnTo>
                <a:close/>
              </a:path>
              <a:path w="977900" h="337185">
                <a:moveTo>
                  <a:pt x="674217" y="168567"/>
                </a:moveTo>
                <a:lnTo>
                  <a:pt x="640511" y="168567"/>
                </a:lnTo>
                <a:lnTo>
                  <a:pt x="640511" y="202272"/>
                </a:lnTo>
                <a:lnTo>
                  <a:pt x="674217" y="202272"/>
                </a:lnTo>
                <a:lnTo>
                  <a:pt x="674217" y="168567"/>
                </a:lnTo>
                <a:close/>
              </a:path>
              <a:path w="977900" h="337185">
                <a:moveTo>
                  <a:pt x="707923" y="202272"/>
                </a:moveTo>
                <a:lnTo>
                  <a:pt x="674217" y="202272"/>
                </a:lnTo>
                <a:lnTo>
                  <a:pt x="674217" y="269684"/>
                </a:lnTo>
                <a:lnTo>
                  <a:pt x="707923" y="269684"/>
                </a:lnTo>
                <a:lnTo>
                  <a:pt x="707923" y="202272"/>
                </a:lnTo>
                <a:close/>
              </a:path>
              <a:path w="977900" h="337185">
                <a:moveTo>
                  <a:pt x="707923" y="101142"/>
                </a:moveTo>
                <a:lnTo>
                  <a:pt x="674217" y="101142"/>
                </a:lnTo>
                <a:lnTo>
                  <a:pt x="674217" y="134848"/>
                </a:lnTo>
                <a:lnTo>
                  <a:pt x="707923" y="134848"/>
                </a:lnTo>
                <a:lnTo>
                  <a:pt x="707923" y="101142"/>
                </a:lnTo>
                <a:close/>
              </a:path>
              <a:path w="977900" h="337185">
                <a:moveTo>
                  <a:pt x="707923" y="0"/>
                </a:moveTo>
                <a:lnTo>
                  <a:pt x="674217" y="0"/>
                </a:lnTo>
                <a:lnTo>
                  <a:pt x="640511" y="0"/>
                </a:lnTo>
                <a:lnTo>
                  <a:pt x="640511" y="33718"/>
                </a:lnTo>
                <a:lnTo>
                  <a:pt x="606806" y="33718"/>
                </a:lnTo>
                <a:lnTo>
                  <a:pt x="606806" y="67424"/>
                </a:lnTo>
                <a:lnTo>
                  <a:pt x="640511" y="67424"/>
                </a:lnTo>
                <a:lnTo>
                  <a:pt x="674217" y="67424"/>
                </a:lnTo>
                <a:lnTo>
                  <a:pt x="674217" y="33718"/>
                </a:lnTo>
                <a:lnTo>
                  <a:pt x="707923" y="33718"/>
                </a:lnTo>
                <a:lnTo>
                  <a:pt x="707923" y="0"/>
                </a:lnTo>
                <a:close/>
              </a:path>
              <a:path w="977900" h="337185">
                <a:moveTo>
                  <a:pt x="910183" y="67424"/>
                </a:moveTo>
                <a:lnTo>
                  <a:pt x="876477" y="67424"/>
                </a:lnTo>
                <a:lnTo>
                  <a:pt x="842772" y="67424"/>
                </a:lnTo>
                <a:lnTo>
                  <a:pt x="809066" y="67424"/>
                </a:lnTo>
                <a:lnTo>
                  <a:pt x="809066" y="168554"/>
                </a:lnTo>
                <a:lnTo>
                  <a:pt x="842772" y="168554"/>
                </a:lnTo>
                <a:lnTo>
                  <a:pt x="876477" y="168554"/>
                </a:lnTo>
                <a:lnTo>
                  <a:pt x="910183" y="168554"/>
                </a:lnTo>
                <a:lnTo>
                  <a:pt x="910183" y="67424"/>
                </a:lnTo>
                <a:close/>
              </a:path>
              <a:path w="977900" h="337185">
                <a:moveTo>
                  <a:pt x="977607" y="168567"/>
                </a:moveTo>
                <a:lnTo>
                  <a:pt x="943902" y="168567"/>
                </a:lnTo>
                <a:lnTo>
                  <a:pt x="943902" y="202272"/>
                </a:lnTo>
                <a:lnTo>
                  <a:pt x="910183" y="202272"/>
                </a:lnTo>
                <a:lnTo>
                  <a:pt x="876477" y="202272"/>
                </a:lnTo>
                <a:lnTo>
                  <a:pt x="842772" y="202272"/>
                </a:lnTo>
                <a:lnTo>
                  <a:pt x="809066" y="202272"/>
                </a:lnTo>
                <a:lnTo>
                  <a:pt x="775360" y="202272"/>
                </a:lnTo>
                <a:lnTo>
                  <a:pt x="775360" y="168567"/>
                </a:lnTo>
                <a:lnTo>
                  <a:pt x="741641" y="168567"/>
                </a:lnTo>
                <a:lnTo>
                  <a:pt x="741641" y="235978"/>
                </a:lnTo>
                <a:lnTo>
                  <a:pt x="775360" y="235978"/>
                </a:lnTo>
                <a:lnTo>
                  <a:pt x="809066" y="235978"/>
                </a:lnTo>
                <a:lnTo>
                  <a:pt x="977607" y="235978"/>
                </a:lnTo>
                <a:lnTo>
                  <a:pt x="977607" y="168567"/>
                </a:lnTo>
                <a:close/>
              </a:path>
              <a:path w="977900" h="337185">
                <a:moveTo>
                  <a:pt x="977607" y="0"/>
                </a:moveTo>
                <a:lnTo>
                  <a:pt x="977607" y="0"/>
                </a:lnTo>
                <a:lnTo>
                  <a:pt x="741641" y="0"/>
                </a:lnTo>
                <a:lnTo>
                  <a:pt x="741641" y="168554"/>
                </a:lnTo>
                <a:lnTo>
                  <a:pt x="775360" y="168554"/>
                </a:lnTo>
                <a:lnTo>
                  <a:pt x="775360" y="33718"/>
                </a:lnTo>
                <a:lnTo>
                  <a:pt x="809066" y="33718"/>
                </a:lnTo>
                <a:lnTo>
                  <a:pt x="842772" y="33718"/>
                </a:lnTo>
                <a:lnTo>
                  <a:pt x="876477" y="33718"/>
                </a:lnTo>
                <a:lnTo>
                  <a:pt x="910183" y="33718"/>
                </a:lnTo>
                <a:lnTo>
                  <a:pt x="943902" y="33718"/>
                </a:lnTo>
                <a:lnTo>
                  <a:pt x="943902" y="168554"/>
                </a:lnTo>
                <a:lnTo>
                  <a:pt x="977607" y="168554"/>
                </a:lnTo>
                <a:lnTo>
                  <a:pt x="977607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8" name="object 848">
            <a:extLst>
              <a:ext uri="{FF2B5EF4-FFF2-40B4-BE49-F238E27FC236}">
                <a16:creationId xmlns:a16="http://schemas.microsoft.com/office/drawing/2014/main" id="{30BFE5C8-7783-4140-A7F0-309DAC6CCE2F}"/>
              </a:ext>
            </a:extLst>
          </xdr:cNvPr>
          <xdr:cNvSpPr/>
        </xdr:nvSpPr>
        <xdr:spPr>
          <a:xfrm>
            <a:off x="5531282" y="3301397"/>
            <a:ext cx="876935" cy="472440"/>
          </a:xfrm>
          <a:custGeom>
            <a:avLst/>
            <a:gdLst/>
            <a:ahLst/>
            <a:cxnLst/>
            <a:rect l="l" t="t" r="r" b="b"/>
            <a:pathLst>
              <a:path w="876935" h="472439">
                <a:moveTo>
                  <a:pt x="33705" y="0"/>
                </a:moveTo>
                <a:lnTo>
                  <a:pt x="0" y="0"/>
                </a:lnTo>
                <a:lnTo>
                  <a:pt x="0" y="33705"/>
                </a:lnTo>
                <a:lnTo>
                  <a:pt x="33705" y="33705"/>
                </a:lnTo>
                <a:lnTo>
                  <a:pt x="33705" y="0"/>
                </a:lnTo>
                <a:close/>
              </a:path>
              <a:path w="876935" h="472439">
                <a:moveTo>
                  <a:pt x="67424" y="33794"/>
                </a:moveTo>
                <a:lnTo>
                  <a:pt x="33705" y="33794"/>
                </a:lnTo>
                <a:lnTo>
                  <a:pt x="33705" y="68084"/>
                </a:lnTo>
                <a:lnTo>
                  <a:pt x="67424" y="68084"/>
                </a:lnTo>
                <a:lnTo>
                  <a:pt x="67424" y="33794"/>
                </a:lnTo>
                <a:close/>
              </a:path>
              <a:path w="876935" h="472439">
                <a:moveTo>
                  <a:pt x="101130" y="304304"/>
                </a:moveTo>
                <a:lnTo>
                  <a:pt x="67424" y="304304"/>
                </a:lnTo>
                <a:lnTo>
                  <a:pt x="67424" y="337324"/>
                </a:lnTo>
                <a:lnTo>
                  <a:pt x="101130" y="337324"/>
                </a:lnTo>
                <a:lnTo>
                  <a:pt x="101130" y="304304"/>
                </a:lnTo>
                <a:close/>
              </a:path>
              <a:path w="876935" h="472439">
                <a:moveTo>
                  <a:pt x="134848" y="68084"/>
                </a:moveTo>
                <a:lnTo>
                  <a:pt x="101130" y="68084"/>
                </a:lnTo>
                <a:lnTo>
                  <a:pt x="67424" y="68084"/>
                </a:lnTo>
                <a:lnTo>
                  <a:pt x="67424" y="102374"/>
                </a:lnTo>
                <a:lnTo>
                  <a:pt x="101130" y="102374"/>
                </a:lnTo>
                <a:lnTo>
                  <a:pt x="134848" y="102374"/>
                </a:lnTo>
                <a:lnTo>
                  <a:pt x="134848" y="68084"/>
                </a:lnTo>
                <a:close/>
              </a:path>
              <a:path w="876935" h="472439">
                <a:moveTo>
                  <a:pt x="134848" y="774"/>
                </a:moveTo>
                <a:lnTo>
                  <a:pt x="101130" y="774"/>
                </a:lnTo>
                <a:lnTo>
                  <a:pt x="101130" y="33794"/>
                </a:lnTo>
                <a:lnTo>
                  <a:pt x="134848" y="33794"/>
                </a:lnTo>
                <a:lnTo>
                  <a:pt x="134848" y="774"/>
                </a:lnTo>
                <a:close/>
              </a:path>
              <a:path w="876935" h="472439">
                <a:moveTo>
                  <a:pt x="168554" y="304304"/>
                </a:moveTo>
                <a:lnTo>
                  <a:pt x="134848" y="304304"/>
                </a:lnTo>
                <a:lnTo>
                  <a:pt x="134848" y="337324"/>
                </a:lnTo>
                <a:lnTo>
                  <a:pt x="168554" y="337324"/>
                </a:lnTo>
                <a:lnTo>
                  <a:pt x="168554" y="304304"/>
                </a:lnTo>
                <a:close/>
              </a:path>
              <a:path w="876935" h="472439">
                <a:moveTo>
                  <a:pt x="168554" y="236994"/>
                </a:moveTo>
                <a:lnTo>
                  <a:pt x="134848" y="236994"/>
                </a:lnTo>
                <a:lnTo>
                  <a:pt x="134848" y="270014"/>
                </a:lnTo>
                <a:lnTo>
                  <a:pt x="168554" y="270014"/>
                </a:lnTo>
                <a:lnTo>
                  <a:pt x="168554" y="236994"/>
                </a:lnTo>
                <a:close/>
              </a:path>
              <a:path w="876935" h="472439">
                <a:moveTo>
                  <a:pt x="168554" y="33794"/>
                </a:moveTo>
                <a:lnTo>
                  <a:pt x="134848" y="33794"/>
                </a:lnTo>
                <a:lnTo>
                  <a:pt x="134848" y="68084"/>
                </a:lnTo>
                <a:lnTo>
                  <a:pt x="168554" y="68084"/>
                </a:lnTo>
                <a:lnTo>
                  <a:pt x="168554" y="33794"/>
                </a:lnTo>
                <a:close/>
              </a:path>
              <a:path w="876935" h="472439">
                <a:moveTo>
                  <a:pt x="202260" y="202704"/>
                </a:moveTo>
                <a:lnTo>
                  <a:pt x="168554" y="202704"/>
                </a:lnTo>
                <a:lnTo>
                  <a:pt x="168554" y="236994"/>
                </a:lnTo>
                <a:lnTo>
                  <a:pt x="202260" y="236994"/>
                </a:lnTo>
                <a:lnTo>
                  <a:pt x="202260" y="202704"/>
                </a:lnTo>
                <a:close/>
              </a:path>
              <a:path w="876935" h="472439">
                <a:moveTo>
                  <a:pt x="202260" y="774"/>
                </a:moveTo>
                <a:lnTo>
                  <a:pt x="168554" y="774"/>
                </a:lnTo>
                <a:lnTo>
                  <a:pt x="168554" y="33794"/>
                </a:lnTo>
                <a:lnTo>
                  <a:pt x="202260" y="33794"/>
                </a:lnTo>
                <a:lnTo>
                  <a:pt x="202260" y="774"/>
                </a:lnTo>
                <a:close/>
              </a:path>
              <a:path w="876935" h="472439">
                <a:moveTo>
                  <a:pt x="235978" y="404634"/>
                </a:moveTo>
                <a:lnTo>
                  <a:pt x="202260" y="404634"/>
                </a:lnTo>
                <a:lnTo>
                  <a:pt x="168554" y="404634"/>
                </a:lnTo>
                <a:lnTo>
                  <a:pt x="134848" y="404634"/>
                </a:lnTo>
                <a:lnTo>
                  <a:pt x="101130" y="404634"/>
                </a:lnTo>
                <a:lnTo>
                  <a:pt x="101130" y="371614"/>
                </a:lnTo>
                <a:lnTo>
                  <a:pt x="67424" y="371614"/>
                </a:lnTo>
                <a:lnTo>
                  <a:pt x="67424" y="337324"/>
                </a:lnTo>
                <a:lnTo>
                  <a:pt x="33705" y="337324"/>
                </a:lnTo>
                <a:lnTo>
                  <a:pt x="33705" y="438924"/>
                </a:lnTo>
                <a:lnTo>
                  <a:pt x="67424" y="438924"/>
                </a:lnTo>
                <a:lnTo>
                  <a:pt x="101130" y="438924"/>
                </a:lnTo>
                <a:lnTo>
                  <a:pt x="134848" y="438924"/>
                </a:lnTo>
                <a:lnTo>
                  <a:pt x="168554" y="438924"/>
                </a:lnTo>
                <a:lnTo>
                  <a:pt x="202260" y="438924"/>
                </a:lnTo>
                <a:lnTo>
                  <a:pt x="235978" y="438924"/>
                </a:lnTo>
                <a:lnTo>
                  <a:pt x="235978" y="404634"/>
                </a:lnTo>
                <a:close/>
              </a:path>
              <a:path w="876935" h="472439">
                <a:moveTo>
                  <a:pt x="303390" y="404634"/>
                </a:moveTo>
                <a:lnTo>
                  <a:pt x="269684" y="404634"/>
                </a:lnTo>
                <a:lnTo>
                  <a:pt x="269684" y="438924"/>
                </a:lnTo>
                <a:lnTo>
                  <a:pt x="235978" y="438924"/>
                </a:lnTo>
                <a:lnTo>
                  <a:pt x="235978" y="471944"/>
                </a:lnTo>
                <a:lnTo>
                  <a:pt x="269684" y="471944"/>
                </a:lnTo>
                <a:lnTo>
                  <a:pt x="303390" y="471944"/>
                </a:lnTo>
                <a:lnTo>
                  <a:pt x="303390" y="404634"/>
                </a:lnTo>
                <a:close/>
              </a:path>
              <a:path w="876935" h="472439">
                <a:moveTo>
                  <a:pt x="337108" y="337324"/>
                </a:moveTo>
                <a:lnTo>
                  <a:pt x="303390" y="337324"/>
                </a:lnTo>
                <a:lnTo>
                  <a:pt x="303390" y="304304"/>
                </a:lnTo>
                <a:lnTo>
                  <a:pt x="269684" y="304304"/>
                </a:lnTo>
                <a:lnTo>
                  <a:pt x="269684" y="337324"/>
                </a:lnTo>
                <a:lnTo>
                  <a:pt x="235978" y="337324"/>
                </a:lnTo>
                <a:lnTo>
                  <a:pt x="202260" y="337324"/>
                </a:lnTo>
                <a:lnTo>
                  <a:pt x="168554" y="337324"/>
                </a:lnTo>
                <a:lnTo>
                  <a:pt x="168554" y="371614"/>
                </a:lnTo>
                <a:lnTo>
                  <a:pt x="202260" y="371614"/>
                </a:lnTo>
                <a:lnTo>
                  <a:pt x="235978" y="371614"/>
                </a:lnTo>
                <a:lnTo>
                  <a:pt x="269684" y="371614"/>
                </a:lnTo>
                <a:lnTo>
                  <a:pt x="303390" y="371614"/>
                </a:lnTo>
                <a:lnTo>
                  <a:pt x="303390" y="404634"/>
                </a:lnTo>
                <a:lnTo>
                  <a:pt x="337108" y="404634"/>
                </a:lnTo>
                <a:lnTo>
                  <a:pt x="337108" y="337324"/>
                </a:lnTo>
                <a:close/>
              </a:path>
              <a:path w="876935" h="472439">
                <a:moveTo>
                  <a:pt x="337108" y="236994"/>
                </a:moveTo>
                <a:lnTo>
                  <a:pt x="303390" y="236994"/>
                </a:lnTo>
                <a:lnTo>
                  <a:pt x="269684" y="236994"/>
                </a:lnTo>
                <a:lnTo>
                  <a:pt x="269684" y="202704"/>
                </a:lnTo>
                <a:lnTo>
                  <a:pt x="235978" y="202704"/>
                </a:lnTo>
                <a:lnTo>
                  <a:pt x="235978" y="236994"/>
                </a:lnTo>
                <a:lnTo>
                  <a:pt x="202260" y="236994"/>
                </a:lnTo>
                <a:lnTo>
                  <a:pt x="202260" y="270014"/>
                </a:lnTo>
                <a:lnTo>
                  <a:pt x="168554" y="270014"/>
                </a:lnTo>
                <a:lnTo>
                  <a:pt x="168554" y="304304"/>
                </a:lnTo>
                <a:lnTo>
                  <a:pt x="202260" y="304304"/>
                </a:lnTo>
                <a:lnTo>
                  <a:pt x="235978" y="304304"/>
                </a:lnTo>
                <a:lnTo>
                  <a:pt x="269684" y="304304"/>
                </a:lnTo>
                <a:lnTo>
                  <a:pt x="269684" y="270014"/>
                </a:lnTo>
                <a:lnTo>
                  <a:pt x="303390" y="270014"/>
                </a:lnTo>
                <a:lnTo>
                  <a:pt x="337108" y="270014"/>
                </a:lnTo>
                <a:lnTo>
                  <a:pt x="337108" y="236994"/>
                </a:lnTo>
                <a:close/>
              </a:path>
              <a:path w="876935" h="472439">
                <a:moveTo>
                  <a:pt x="337108" y="169684"/>
                </a:moveTo>
                <a:lnTo>
                  <a:pt x="303390" y="169684"/>
                </a:lnTo>
                <a:lnTo>
                  <a:pt x="303390" y="202704"/>
                </a:lnTo>
                <a:lnTo>
                  <a:pt x="337108" y="202704"/>
                </a:lnTo>
                <a:lnTo>
                  <a:pt x="337108" y="169684"/>
                </a:lnTo>
                <a:close/>
              </a:path>
              <a:path w="876935" h="472439">
                <a:moveTo>
                  <a:pt x="370814" y="404634"/>
                </a:moveTo>
                <a:lnTo>
                  <a:pt x="337108" y="404634"/>
                </a:lnTo>
                <a:lnTo>
                  <a:pt x="337108" y="438924"/>
                </a:lnTo>
                <a:lnTo>
                  <a:pt x="370814" y="438924"/>
                </a:lnTo>
                <a:lnTo>
                  <a:pt x="370814" y="404634"/>
                </a:lnTo>
                <a:close/>
              </a:path>
              <a:path w="876935" h="472439">
                <a:moveTo>
                  <a:pt x="370814" y="202704"/>
                </a:moveTo>
                <a:lnTo>
                  <a:pt x="337108" y="202704"/>
                </a:lnTo>
                <a:lnTo>
                  <a:pt x="337108" y="236994"/>
                </a:lnTo>
                <a:lnTo>
                  <a:pt x="370814" y="236994"/>
                </a:lnTo>
                <a:lnTo>
                  <a:pt x="370814" y="202704"/>
                </a:lnTo>
                <a:close/>
              </a:path>
              <a:path w="876935" h="472439">
                <a:moveTo>
                  <a:pt x="370814" y="135394"/>
                </a:moveTo>
                <a:lnTo>
                  <a:pt x="337108" y="135394"/>
                </a:lnTo>
                <a:lnTo>
                  <a:pt x="337108" y="169684"/>
                </a:lnTo>
                <a:lnTo>
                  <a:pt x="370814" y="169684"/>
                </a:lnTo>
                <a:lnTo>
                  <a:pt x="370814" y="135394"/>
                </a:lnTo>
                <a:close/>
              </a:path>
              <a:path w="876935" h="472439">
                <a:moveTo>
                  <a:pt x="370814" y="774"/>
                </a:moveTo>
                <a:lnTo>
                  <a:pt x="337108" y="774"/>
                </a:lnTo>
                <a:lnTo>
                  <a:pt x="303390" y="774"/>
                </a:lnTo>
                <a:lnTo>
                  <a:pt x="269684" y="774"/>
                </a:lnTo>
                <a:lnTo>
                  <a:pt x="235978" y="774"/>
                </a:lnTo>
                <a:lnTo>
                  <a:pt x="235978" y="33794"/>
                </a:lnTo>
                <a:lnTo>
                  <a:pt x="269684" y="33794"/>
                </a:lnTo>
                <a:lnTo>
                  <a:pt x="269684" y="68084"/>
                </a:lnTo>
                <a:lnTo>
                  <a:pt x="303390" y="68084"/>
                </a:lnTo>
                <a:lnTo>
                  <a:pt x="303390" y="102374"/>
                </a:lnTo>
                <a:lnTo>
                  <a:pt x="269684" y="102374"/>
                </a:lnTo>
                <a:lnTo>
                  <a:pt x="269684" y="68084"/>
                </a:lnTo>
                <a:lnTo>
                  <a:pt x="235978" y="68084"/>
                </a:lnTo>
                <a:lnTo>
                  <a:pt x="202260" y="68084"/>
                </a:lnTo>
                <a:lnTo>
                  <a:pt x="168554" y="68084"/>
                </a:lnTo>
                <a:lnTo>
                  <a:pt x="168554" y="102374"/>
                </a:lnTo>
                <a:lnTo>
                  <a:pt x="202260" y="102374"/>
                </a:lnTo>
                <a:lnTo>
                  <a:pt x="202260" y="135394"/>
                </a:lnTo>
                <a:lnTo>
                  <a:pt x="168554" y="135394"/>
                </a:lnTo>
                <a:lnTo>
                  <a:pt x="134848" y="135394"/>
                </a:lnTo>
                <a:lnTo>
                  <a:pt x="101130" y="135394"/>
                </a:lnTo>
                <a:lnTo>
                  <a:pt x="67424" y="135394"/>
                </a:lnTo>
                <a:lnTo>
                  <a:pt x="67424" y="202704"/>
                </a:lnTo>
                <a:lnTo>
                  <a:pt x="33705" y="202704"/>
                </a:lnTo>
                <a:lnTo>
                  <a:pt x="33705" y="270014"/>
                </a:lnTo>
                <a:lnTo>
                  <a:pt x="67424" y="270014"/>
                </a:lnTo>
                <a:lnTo>
                  <a:pt x="101130" y="270014"/>
                </a:lnTo>
                <a:lnTo>
                  <a:pt x="101130" y="202704"/>
                </a:lnTo>
                <a:lnTo>
                  <a:pt x="134848" y="202704"/>
                </a:lnTo>
                <a:lnTo>
                  <a:pt x="134848" y="169684"/>
                </a:lnTo>
                <a:lnTo>
                  <a:pt x="168554" y="169684"/>
                </a:lnTo>
                <a:lnTo>
                  <a:pt x="202260" y="169684"/>
                </a:lnTo>
                <a:lnTo>
                  <a:pt x="235978" y="169684"/>
                </a:lnTo>
                <a:lnTo>
                  <a:pt x="235978" y="135394"/>
                </a:lnTo>
                <a:lnTo>
                  <a:pt x="269684" y="135394"/>
                </a:lnTo>
                <a:lnTo>
                  <a:pt x="303390" y="135394"/>
                </a:lnTo>
                <a:lnTo>
                  <a:pt x="337108" y="135394"/>
                </a:lnTo>
                <a:lnTo>
                  <a:pt x="337108" y="33794"/>
                </a:lnTo>
                <a:lnTo>
                  <a:pt x="370814" y="33794"/>
                </a:lnTo>
                <a:lnTo>
                  <a:pt x="370814" y="774"/>
                </a:lnTo>
                <a:close/>
              </a:path>
              <a:path w="876935" h="472439">
                <a:moveTo>
                  <a:pt x="404520" y="169684"/>
                </a:moveTo>
                <a:lnTo>
                  <a:pt x="370814" y="169684"/>
                </a:lnTo>
                <a:lnTo>
                  <a:pt x="370814" y="202704"/>
                </a:lnTo>
                <a:lnTo>
                  <a:pt x="404520" y="202704"/>
                </a:lnTo>
                <a:lnTo>
                  <a:pt x="404520" y="169684"/>
                </a:lnTo>
                <a:close/>
              </a:path>
              <a:path w="876935" h="472439">
                <a:moveTo>
                  <a:pt x="404520" y="68084"/>
                </a:moveTo>
                <a:lnTo>
                  <a:pt x="370814" y="68084"/>
                </a:lnTo>
                <a:lnTo>
                  <a:pt x="370814" y="102374"/>
                </a:lnTo>
                <a:lnTo>
                  <a:pt x="404520" y="102374"/>
                </a:lnTo>
                <a:lnTo>
                  <a:pt x="404520" y="68084"/>
                </a:lnTo>
                <a:close/>
              </a:path>
              <a:path w="876935" h="472439">
                <a:moveTo>
                  <a:pt x="438226" y="438924"/>
                </a:moveTo>
                <a:lnTo>
                  <a:pt x="404520" y="438924"/>
                </a:lnTo>
                <a:lnTo>
                  <a:pt x="370814" y="438924"/>
                </a:lnTo>
                <a:lnTo>
                  <a:pt x="370814" y="471944"/>
                </a:lnTo>
                <a:lnTo>
                  <a:pt x="404520" y="471944"/>
                </a:lnTo>
                <a:lnTo>
                  <a:pt x="438226" y="471944"/>
                </a:lnTo>
                <a:lnTo>
                  <a:pt x="438226" y="438924"/>
                </a:lnTo>
                <a:close/>
              </a:path>
              <a:path w="876935" h="472439">
                <a:moveTo>
                  <a:pt x="438226" y="270014"/>
                </a:moveTo>
                <a:lnTo>
                  <a:pt x="404520" y="270014"/>
                </a:lnTo>
                <a:lnTo>
                  <a:pt x="404520" y="304304"/>
                </a:lnTo>
                <a:lnTo>
                  <a:pt x="370814" y="304304"/>
                </a:lnTo>
                <a:lnTo>
                  <a:pt x="337108" y="304304"/>
                </a:lnTo>
                <a:lnTo>
                  <a:pt x="337108" y="337324"/>
                </a:lnTo>
                <a:lnTo>
                  <a:pt x="370814" y="337324"/>
                </a:lnTo>
                <a:lnTo>
                  <a:pt x="370814" y="404634"/>
                </a:lnTo>
                <a:lnTo>
                  <a:pt x="404520" y="404634"/>
                </a:lnTo>
                <a:lnTo>
                  <a:pt x="438226" y="404634"/>
                </a:lnTo>
                <a:lnTo>
                  <a:pt x="438226" y="270014"/>
                </a:lnTo>
                <a:close/>
              </a:path>
              <a:path w="876935" h="472439">
                <a:moveTo>
                  <a:pt x="438226" y="202704"/>
                </a:moveTo>
                <a:lnTo>
                  <a:pt x="404520" y="202704"/>
                </a:lnTo>
                <a:lnTo>
                  <a:pt x="404520" y="236994"/>
                </a:lnTo>
                <a:lnTo>
                  <a:pt x="438226" y="236994"/>
                </a:lnTo>
                <a:lnTo>
                  <a:pt x="438226" y="202704"/>
                </a:lnTo>
                <a:close/>
              </a:path>
              <a:path w="876935" h="472439">
                <a:moveTo>
                  <a:pt x="438226" y="135394"/>
                </a:moveTo>
                <a:lnTo>
                  <a:pt x="404520" y="135394"/>
                </a:lnTo>
                <a:lnTo>
                  <a:pt x="404520" y="169684"/>
                </a:lnTo>
                <a:lnTo>
                  <a:pt x="438226" y="169684"/>
                </a:lnTo>
                <a:lnTo>
                  <a:pt x="438226" y="135394"/>
                </a:lnTo>
                <a:close/>
              </a:path>
              <a:path w="876935" h="472439">
                <a:moveTo>
                  <a:pt x="438226" y="774"/>
                </a:moveTo>
                <a:lnTo>
                  <a:pt x="404520" y="774"/>
                </a:lnTo>
                <a:lnTo>
                  <a:pt x="404520" y="68084"/>
                </a:lnTo>
                <a:lnTo>
                  <a:pt x="438226" y="68084"/>
                </a:lnTo>
                <a:lnTo>
                  <a:pt x="438226" y="774"/>
                </a:lnTo>
                <a:close/>
              </a:path>
              <a:path w="876935" h="472439">
                <a:moveTo>
                  <a:pt x="471944" y="337324"/>
                </a:moveTo>
                <a:lnTo>
                  <a:pt x="438238" y="337324"/>
                </a:lnTo>
                <a:lnTo>
                  <a:pt x="438238" y="371614"/>
                </a:lnTo>
                <a:lnTo>
                  <a:pt x="471944" y="371614"/>
                </a:lnTo>
                <a:lnTo>
                  <a:pt x="471944" y="337324"/>
                </a:lnTo>
                <a:close/>
              </a:path>
              <a:path w="876935" h="472439">
                <a:moveTo>
                  <a:pt x="842759" y="304304"/>
                </a:moveTo>
                <a:lnTo>
                  <a:pt x="809053" y="304304"/>
                </a:lnTo>
                <a:lnTo>
                  <a:pt x="809053" y="404634"/>
                </a:lnTo>
                <a:lnTo>
                  <a:pt x="775347" y="404634"/>
                </a:lnTo>
                <a:lnTo>
                  <a:pt x="741641" y="404634"/>
                </a:lnTo>
                <a:lnTo>
                  <a:pt x="707923" y="404634"/>
                </a:lnTo>
                <a:lnTo>
                  <a:pt x="674204" y="404634"/>
                </a:lnTo>
                <a:lnTo>
                  <a:pt x="674204" y="236994"/>
                </a:lnTo>
                <a:lnTo>
                  <a:pt x="640499" y="236994"/>
                </a:lnTo>
                <a:lnTo>
                  <a:pt x="640499" y="371614"/>
                </a:lnTo>
                <a:lnTo>
                  <a:pt x="606793" y="371614"/>
                </a:lnTo>
                <a:lnTo>
                  <a:pt x="606793" y="337324"/>
                </a:lnTo>
                <a:lnTo>
                  <a:pt x="573087" y="337324"/>
                </a:lnTo>
                <a:lnTo>
                  <a:pt x="573087" y="371614"/>
                </a:lnTo>
                <a:lnTo>
                  <a:pt x="539369" y="371614"/>
                </a:lnTo>
                <a:lnTo>
                  <a:pt x="539369" y="438924"/>
                </a:lnTo>
                <a:lnTo>
                  <a:pt x="505663" y="438924"/>
                </a:lnTo>
                <a:lnTo>
                  <a:pt x="505663" y="404634"/>
                </a:lnTo>
                <a:lnTo>
                  <a:pt x="471944" y="404634"/>
                </a:lnTo>
                <a:lnTo>
                  <a:pt x="438238" y="404634"/>
                </a:lnTo>
                <a:lnTo>
                  <a:pt x="438238" y="438924"/>
                </a:lnTo>
                <a:lnTo>
                  <a:pt x="471944" y="438924"/>
                </a:lnTo>
                <a:lnTo>
                  <a:pt x="471944" y="471944"/>
                </a:lnTo>
                <a:lnTo>
                  <a:pt x="505663" y="471944"/>
                </a:lnTo>
                <a:lnTo>
                  <a:pt x="539369" y="471944"/>
                </a:lnTo>
                <a:lnTo>
                  <a:pt x="573087" y="471944"/>
                </a:lnTo>
                <a:lnTo>
                  <a:pt x="606793" y="471944"/>
                </a:lnTo>
                <a:lnTo>
                  <a:pt x="606793" y="438924"/>
                </a:lnTo>
                <a:lnTo>
                  <a:pt x="573087" y="438924"/>
                </a:lnTo>
                <a:lnTo>
                  <a:pt x="573087" y="404634"/>
                </a:lnTo>
                <a:lnTo>
                  <a:pt x="606793" y="404634"/>
                </a:lnTo>
                <a:lnTo>
                  <a:pt x="640499" y="404634"/>
                </a:lnTo>
                <a:lnTo>
                  <a:pt x="640499" y="471944"/>
                </a:lnTo>
                <a:lnTo>
                  <a:pt x="674204" y="471944"/>
                </a:lnTo>
                <a:lnTo>
                  <a:pt x="674204" y="438924"/>
                </a:lnTo>
                <a:lnTo>
                  <a:pt x="707923" y="438924"/>
                </a:lnTo>
                <a:lnTo>
                  <a:pt x="741641" y="438924"/>
                </a:lnTo>
                <a:lnTo>
                  <a:pt x="775347" y="438924"/>
                </a:lnTo>
                <a:lnTo>
                  <a:pt x="775347" y="471944"/>
                </a:lnTo>
                <a:lnTo>
                  <a:pt x="809053" y="471944"/>
                </a:lnTo>
                <a:lnTo>
                  <a:pt x="809053" y="438924"/>
                </a:lnTo>
                <a:lnTo>
                  <a:pt x="842759" y="438924"/>
                </a:lnTo>
                <a:lnTo>
                  <a:pt x="842759" y="304304"/>
                </a:lnTo>
                <a:close/>
              </a:path>
              <a:path w="876935" h="472439">
                <a:moveTo>
                  <a:pt x="876465" y="438924"/>
                </a:moveTo>
                <a:lnTo>
                  <a:pt x="842759" y="438924"/>
                </a:lnTo>
                <a:lnTo>
                  <a:pt x="842759" y="471944"/>
                </a:lnTo>
                <a:lnTo>
                  <a:pt x="876465" y="471944"/>
                </a:lnTo>
                <a:lnTo>
                  <a:pt x="876465" y="438924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9" name="object 849">
            <a:extLst>
              <a:ext uri="{FF2B5EF4-FFF2-40B4-BE49-F238E27FC236}">
                <a16:creationId xmlns:a16="http://schemas.microsoft.com/office/drawing/2014/main" id="{07CD36A1-2428-4A48-8BD9-D1786C6A4321}"/>
              </a:ext>
            </a:extLst>
          </xdr:cNvPr>
          <xdr:cNvSpPr/>
        </xdr:nvSpPr>
        <xdr:spPr>
          <a:xfrm>
            <a:off x="5497563" y="3302172"/>
            <a:ext cx="977900" cy="707390"/>
          </a:xfrm>
          <a:custGeom>
            <a:avLst/>
            <a:gdLst/>
            <a:ahLst/>
            <a:cxnLst/>
            <a:rect l="l" t="t" r="r" b="b"/>
            <a:pathLst>
              <a:path w="977900" h="707389">
                <a:moveTo>
                  <a:pt x="33718" y="100342"/>
                </a:moveTo>
                <a:lnTo>
                  <a:pt x="0" y="100342"/>
                </a:lnTo>
                <a:lnTo>
                  <a:pt x="0" y="134061"/>
                </a:lnTo>
                <a:lnTo>
                  <a:pt x="33718" y="134061"/>
                </a:lnTo>
                <a:lnTo>
                  <a:pt x="33718" y="100342"/>
                </a:lnTo>
                <a:close/>
              </a:path>
              <a:path w="977900" h="707389">
                <a:moveTo>
                  <a:pt x="67424" y="403745"/>
                </a:moveTo>
                <a:lnTo>
                  <a:pt x="33718" y="403745"/>
                </a:lnTo>
                <a:lnTo>
                  <a:pt x="0" y="403745"/>
                </a:lnTo>
                <a:lnTo>
                  <a:pt x="0" y="437451"/>
                </a:lnTo>
                <a:lnTo>
                  <a:pt x="33718" y="437451"/>
                </a:lnTo>
                <a:lnTo>
                  <a:pt x="67424" y="437451"/>
                </a:lnTo>
                <a:lnTo>
                  <a:pt x="67424" y="403745"/>
                </a:lnTo>
                <a:close/>
              </a:path>
              <a:path w="977900" h="707389">
                <a:moveTo>
                  <a:pt x="67424" y="167767"/>
                </a:moveTo>
                <a:lnTo>
                  <a:pt x="33718" y="167767"/>
                </a:lnTo>
                <a:lnTo>
                  <a:pt x="0" y="167767"/>
                </a:lnTo>
                <a:lnTo>
                  <a:pt x="0" y="336321"/>
                </a:lnTo>
                <a:lnTo>
                  <a:pt x="33718" y="336321"/>
                </a:lnTo>
                <a:lnTo>
                  <a:pt x="67424" y="336321"/>
                </a:lnTo>
                <a:lnTo>
                  <a:pt x="67424" y="268909"/>
                </a:lnTo>
                <a:lnTo>
                  <a:pt x="33718" y="268909"/>
                </a:lnTo>
                <a:lnTo>
                  <a:pt x="33718" y="235191"/>
                </a:lnTo>
                <a:lnTo>
                  <a:pt x="67424" y="235191"/>
                </a:lnTo>
                <a:lnTo>
                  <a:pt x="67424" y="167767"/>
                </a:lnTo>
                <a:close/>
              </a:path>
              <a:path w="977900" h="707389">
                <a:moveTo>
                  <a:pt x="168567" y="538581"/>
                </a:moveTo>
                <a:lnTo>
                  <a:pt x="134848" y="538581"/>
                </a:lnTo>
                <a:lnTo>
                  <a:pt x="101142" y="538581"/>
                </a:lnTo>
                <a:lnTo>
                  <a:pt x="67424" y="538581"/>
                </a:lnTo>
                <a:lnTo>
                  <a:pt x="67424" y="639711"/>
                </a:lnTo>
                <a:lnTo>
                  <a:pt x="101142" y="639711"/>
                </a:lnTo>
                <a:lnTo>
                  <a:pt x="134848" y="639711"/>
                </a:lnTo>
                <a:lnTo>
                  <a:pt x="168567" y="639711"/>
                </a:lnTo>
                <a:lnTo>
                  <a:pt x="168567" y="538581"/>
                </a:lnTo>
                <a:close/>
              </a:path>
              <a:path w="977900" h="707389">
                <a:moveTo>
                  <a:pt x="235978" y="471170"/>
                </a:moveTo>
                <a:lnTo>
                  <a:pt x="202272" y="471170"/>
                </a:lnTo>
                <a:lnTo>
                  <a:pt x="202272" y="504875"/>
                </a:lnTo>
                <a:lnTo>
                  <a:pt x="202272" y="673430"/>
                </a:lnTo>
                <a:lnTo>
                  <a:pt x="33718" y="673430"/>
                </a:lnTo>
                <a:lnTo>
                  <a:pt x="33718" y="504875"/>
                </a:lnTo>
                <a:lnTo>
                  <a:pt x="202272" y="504875"/>
                </a:lnTo>
                <a:lnTo>
                  <a:pt x="202272" y="471170"/>
                </a:lnTo>
                <a:lnTo>
                  <a:pt x="0" y="471170"/>
                </a:lnTo>
                <a:lnTo>
                  <a:pt x="0" y="707136"/>
                </a:lnTo>
                <a:lnTo>
                  <a:pt x="235978" y="707136"/>
                </a:lnTo>
                <a:lnTo>
                  <a:pt x="235978" y="471170"/>
                </a:lnTo>
                <a:close/>
              </a:path>
              <a:path w="977900" h="707389">
                <a:moveTo>
                  <a:pt x="404533" y="504875"/>
                </a:moveTo>
                <a:lnTo>
                  <a:pt x="370827" y="504875"/>
                </a:lnTo>
                <a:lnTo>
                  <a:pt x="337108" y="504875"/>
                </a:lnTo>
                <a:lnTo>
                  <a:pt x="337108" y="538581"/>
                </a:lnTo>
                <a:lnTo>
                  <a:pt x="370827" y="538581"/>
                </a:lnTo>
                <a:lnTo>
                  <a:pt x="370827" y="572300"/>
                </a:lnTo>
                <a:lnTo>
                  <a:pt x="337108" y="572300"/>
                </a:lnTo>
                <a:lnTo>
                  <a:pt x="337108" y="538581"/>
                </a:lnTo>
                <a:lnTo>
                  <a:pt x="303403" y="538581"/>
                </a:lnTo>
                <a:lnTo>
                  <a:pt x="269697" y="538581"/>
                </a:lnTo>
                <a:lnTo>
                  <a:pt x="269697" y="572300"/>
                </a:lnTo>
                <a:lnTo>
                  <a:pt x="303403" y="572300"/>
                </a:lnTo>
                <a:lnTo>
                  <a:pt x="303403" y="639711"/>
                </a:lnTo>
                <a:lnTo>
                  <a:pt x="269697" y="639711"/>
                </a:lnTo>
                <a:lnTo>
                  <a:pt x="269697" y="673430"/>
                </a:lnTo>
                <a:lnTo>
                  <a:pt x="303403" y="673430"/>
                </a:lnTo>
                <a:lnTo>
                  <a:pt x="303403" y="707136"/>
                </a:lnTo>
                <a:lnTo>
                  <a:pt x="337108" y="707136"/>
                </a:lnTo>
                <a:lnTo>
                  <a:pt x="370827" y="707136"/>
                </a:lnTo>
                <a:lnTo>
                  <a:pt x="370827" y="673430"/>
                </a:lnTo>
                <a:lnTo>
                  <a:pt x="337108" y="673430"/>
                </a:lnTo>
                <a:lnTo>
                  <a:pt x="337108" y="606005"/>
                </a:lnTo>
                <a:lnTo>
                  <a:pt x="370827" y="606005"/>
                </a:lnTo>
                <a:lnTo>
                  <a:pt x="404533" y="606005"/>
                </a:lnTo>
                <a:lnTo>
                  <a:pt x="404533" y="504875"/>
                </a:lnTo>
                <a:close/>
              </a:path>
              <a:path w="977900" h="707389">
                <a:moveTo>
                  <a:pt x="471944" y="606005"/>
                </a:moveTo>
                <a:lnTo>
                  <a:pt x="438238" y="606005"/>
                </a:lnTo>
                <a:lnTo>
                  <a:pt x="438238" y="639711"/>
                </a:lnTo>
                <a:lnTo>
                  <a:pt x="404533" y="639711"/>
                </a:lnTo>
                <a:lnTo>
                  <a:pt x="404533" y="707136"/>
                </a:lnTo>
                <a:lnTo>
                  <a:pt x="438238" y="707136"/>
                </a:lnTo>
                <a:lnTo>
                  <a:pt x="438238" y="673430"/>
                </a:lnTo>
                <a:lnTo>
                  <a:pt x="471944" y="673430"/>
                </a:lnTo>
                <a:lnTo>
                  <a:pt x="471944" y="606005"/>
                </a:lnTo>
                <a:close/>
              </a:path>
              <a:path w="977900" h="707389">
                <a:moveTo>
                  <a:pt x="471944" y="538581"/>
                </a:moveTo>
                <a:lnTo>
                  <a:pt x="438238" y="538581"/>
                </a:lnTo>
                <a:lnTo>
                  <a:pt x="438238" y="572300"/>
                </a:lnTo>
                <a:lnTo>
                  <a:pt x="471944" y="572300"/>
                </a:lnTo>
                <a:lnTo>
                  <a:pt x="471944" y="538581"/>
                </a:lnTo>
                <a:close/>
              </a:path>
              <a:path w="977900" h="707389">
                <a:moveTo>
                  <a:pt x="505663" y="336550"/>
                </a:moveTo>
                <a:lnTo>
                  <a:pt x="471957" y="336550"/>
                </a:lnTo>
                <a:lnTo>
                  <a:pt x="471957" y="370840"/>
                </a:lnTo>
                <a:lnTo>
                  <a:pt x="505663" y="370840"/>
                </a:lnTo>
                <a:lnTo>
                  <a:pt x="505663" y="336550"/>
                </a:lnTo>
                <a:close/>
              </a:path>
              <a:path w="977900" h="707389">
                <a:moveTo>
                  <a:pt x="505663" y="33020"/>
                </a:moveTo>
                <a:lnTo>
                  <a:pt x="471957" y="33020"/>
                </a:lnTo>
                <a:lnTo>
                  <a:pt x="471957" y="101600"/>
                </a:lnTo>
                <a:lnTo>
                  <a:pt x="505663" y="101600"/>
                </a:lnTo>
                <a:lnTo>
                  <a:pt x="505663" y="33020"/>
                </a:lnTo>
                <a:close/>
              </a:path>
              <a:path w="977900" h="707389">
                <a:moveTo>
                  <a:pt x="539381" y="101600"/>
                </a:moveTo>
                <a:lnTo>
                  <a:pt x="505663" y="101600"/>
                </a:lnTo>
                <a:lnTo>
                  <a:pt x="505663" y="134620"/>
                </a:lnTo>
                <a:lnTo>
                  <a:pt x="539381" y="134620"/>
                </a:lnTo>
                <a:lnTo>
                  <a:pt x="539381" y="101600"/>
                </a:lnTo>
                <a:close/>
              </a:path>
              <a:path w="977900" h="707389">
                <a:moveTo>
                  <a:pt x="606806" y="303530"/>
                </a:moveTo>
                <a:lnTo>
                  <a:pt x="573087" y="303530"/>
                </a:lnTo>
                <a:lnTo>
                  <a:pt x="539381" y="303530"/>
                </a:lnTo>
                <a:lnTo>
                  <a:pt x="539381" y="370840"/>
                </a:lnTo>
                <a:lnTo>
                  <a:pt x="573087" y="370840"/>
                </a:lnTo>
                <a:lnTo>
                  <a:pt x="573087" y="336550"/>
                </a:lnTo>
                <a:lnTo>
                  <a:pt x="606806" y="336550"/>
                </a:lnTo>
                <a:lnTo>
                  <a:pt x="606806" y="303530"/>
                </a:lnTo>
                <a:close/>
              </a:path>
              <a:path w="977900" h="707389">
                <a:moveTo>
                  <a:pt x="640511" y="168910"/>
                </a:moveTo>
                <a:lnTo>
                  <a:pt x="606806" y="168910"/>
                </a:lnTo>
                <a:lnTo>
                  <a:pt x="606806" y="201930"/>
                </a:lnTo>
                <a:lnTo>
                  <a:pt x="640511" y="201930"/>
                </a:lnTo>
                <a:lnTo>
                  <a:pt x="640511" y="168910"/>
                </a:lnTo>
                <a:close/>
              </a:path>
              <a:path w="977900" h="707389">
                <a:moveTo>
                  <a:pt x="674217" y="269240"/>
                </a:moveTo>
                <a:lnTo>
                  <a:pt x="640511" y="269240"/>
                </a:lnTo>
                <a:lnTo>
                  <a:pt x="640511" y="236220"/>
                </a:lnTo>
                <a:lnTo>
                  <a:pt x="606806" y="236220"/>
                </a:lnTo>
                <a:lnTo>
                  <a:pt x="606806" y="201930"/>
                </a:lnTo>
                <a:lnTo>
                  <a:pt x="573087" y="201930"/>
                </a:lnTo>
                <a:lnTo>
                  <a:pt x="539381" y="201930"/>
                </a:lnTo>
                <a:lnTo>
                  <a:pt x="539381" y="168910"/>
                </a:lnTo>
                <a:lnTo>
                  <a:pt x="505663" y="168910"/>
                </a:lnTo>
                <a:lnTo>
                  <a:pt x="505663" y="134620"/>
                </a:lnTo>
                <a:lnTo>
                  <a:pt x="471957" y="134620"/>
                </a:lnTo>
                <a:lnTo>
                  <a:pt x="471957" y="303530"/>
                </a:lnTo>
                <a:lnTo>
                  <a:pt x="505663" y="303530"/>
                </a:lnTo>
                <a:lnTo>
                  <a:pt x="539381" y="303530"/>
                </a:lnTo>
                <a:lnTo>
                  <a:pt x="539381" y="269240"/>
                </a:lnTo>
                <a:lnTo>
                  <a:pt x="573087" y="269240"/>
                </a:lnTo>
                <a:lnTo>
                  <a:pt x="606806" y="269240"/>
                </a:lnTo>
                <a:lnTo>
                  <a:pt x="606806" y="303530"/>
                </a:lnTo>
                <a:lnTo>
                  <a:pt x="640511" y="303530"/>
                </a:lnTo>
                <a:lnTo>
                  <a:pt x="640511" y="336550"/>
                </a:lnTo>
                <a:lnTo>
                  <a:pt x="674217" y="336550"/>
                </a:lnTo>
                <a:lnTo>
                  <a:pt x="674217" y="269240"/>
                </a:lnTo>
                <a:close/>
              </a:path>
              <a:path w="977900" h="707389">
                <a:moveTo>
                  <a:pt x="775360" y="168910"/>
                </a:moveTo>
                <a:lnTo>
                  <a:pt x="741641" y="168910"/>
                </a:lnTo>
                <a:lnTo>
                  <a:pt x="741641" y="201930"/>
                </a:lnTo>
                <a:lnTo>
                  <a:pt x="707923" y="201930"/>
                </a:lnTo>
                <a:lnTo>
                  <a:pt x="707923" y="336550"/>
                </a:lnTo>
                <a:lnTo>
                  <a:pt x="741641" y="336550"/>
                </a:lnTo>
                <a:lnTo>
                  <a:pt x="775360" y="336550"/>
                </a:lnTo>
                <a:lnTo>
                  <a:pt x="775360" y="303530"/>
                </a:lnTo>
                <a:lnTo>
                  <a:pt x="741641" y="303530"/>
                </a:lnTo>
                <a:lnTo>
                  <a:pt x="741641" y="236220"/>
                </a:lnTo>
                <a:lnTo>
                  <a:pt x="775360" y="236220"/>
                </a:lnTo>
                <a:lnTo>
                  <a:pt x="775360" y="168910"/>
                </a:lnTo>
                <a:close/>
              </a:path>
              <a:path w="977900" h="707389">
                <a:moveTo>
                  <a:pt x="809066" y="236220"/>
                </a:moveTo>
                <a:lnTo>
                  <a:pt x="775360" y="236220"/>
                </a:lnTo>
                <a:lnTo>
                  <a:pt x="775360" y="269240"/>
                </a:lnTo>
                <a:lnTo>
                  <a:pt x="809066" y="269240"/>
                </a:lnTo>
                <a:lnTo>
                  <a:pt x="809066" y="236220"/>
                </a:lnTo>
                <a:close/>
              </a:path>
              <a:path w="977900" h="707389">
                <a:moveTo>
                  <a:pt x="809066" y="134620"/>
                </a:moveTo>
                <a:lnTo>
                  <a:pt x="775360" y="134620"/>
                </a:lnTo>
                <a:lnTo>
                  <a:pt x="775360" y="168910"/>
                </a:lnTo>
                <a:lnTo>
                  <a:pt x="809066" y="168910"/>
                </a:lnTo>
                <a:lnTo>
                  <a:pt x="809066" y="134620"/>
                </a:lnTo>
                <a:close/>
              </a:path>
              <a:path w="977900" h="707389">
                <a:moveTo>
                  <a:pt x="842772" y="303530"/>
                </a:moveTo>
                <a:lnTo>
                  <a:pt x="809066" y="303530"/>
                </a:lnTo>
                <a:lnTo>
                  <a:pt x="809066" y="336550"/>
                </a:lnTo>
                <a:lnTo>
                  <a:pt x="842772" y="336550"/>
                </a:lnTo>
                <a:lnTo>
                  <a:pt x="842772" y="303530"/>
                </a:lnTo>
                <a:close/>
              </a:path>
              <a:path w="977900" h="707389">
                <a:moveTo>
                  <a:pt x="842772" y="168910"/>
                </a:moveTo>
                <a:lnTo>
                  <a:pt x="809066" y="168910"/>
                </a:lnTo>
                <a:lnTo>
                  <a:pt x="809066" y="236220"/>
                </a:lnTo>
                <a:lnTo>
                  <a:pt x="842772" y="236220"/>
                </a:lnTo>
                <a:lnTo>
                  <a:pt x="842772" y="168910"/>
                </a:lnTo>
                <a:close/>
              </a:path>
              <a:path w="977900" h="707389">
                <a:moveTo>
                  <a:pt x="876477" y="236220"/>
                </a:moveTo>
                <a:lnTo>
                  <a:pt x="842772" y="236220"/>
                </a:lnTo>
                <a:lnTo>
                  <a:pt x="842772" y="269240"/>
                </a:lnTo>
                <a:lnTo>
                  <a:pt x="876477" y="269240"/>
                </a:lnTo>
                <a:lnTo>
                  <a:pt x="876477" y="236220"/>
                </a:lnTo>
                <a:close/>
              </a:path>
              <a:path w="977900" h="707389">
                <a:moveTo>
                  <a:pt x="910183" y="303530"/>
                </a:moveTo>
                <a:lnTo>
                  <a:pt x="876477" y="303530"/>
                </a:lnTo>
                <a:lnTo>
                  <a:pt x="876477" y="336550"/>
                </a:lnTo>
                <a:lnTo>
                  <a:pt x="910183" y="336550"/>
                </a:lnTo>
                <a:lnTo>
                  <a:pt x="910183" y="303530"/>
                </a:lnTo>
                <a:close/>
              </a:path>
              <a:path w="977900" h="707389">
                <a:moveTo>
                  <a:pt x="977607" y="32931"/>
                </a:moveTo>
                <a:lnTo>
                  <a:pt x="943902" y="32931"/>
                </a:lnTo>
                <a:lnTo>
                  <a:pt x="910183" y="33020"/>
                </a:lnTo>
                <a:lnTo>
                  <a:pt x="910183" y="0"/>
                </a:lnTo>
                <a:lnTo>
                  <a:pt x="876477" y="0"/>
                </a:lnTo>
                <a:lnTo>
                  <a:pt x="876477" y="33020"/>
                </a:lnTo>
                <a:lnTo>
                  <a:pt x="842772" y="33020"/>
                </a:lnTo>
                <a:lnTo>
                  <a:pt x="842772" y="0"/>
                </a:lnTo>
                <a:lnTo>
                  <a:pt x="809066" y="0"/>
                </a:lnTo>
                <a:lnTo>
                  <a:pt x="775360" y="0"/>
                </a:lnTo>
                <a:lnTo>
                  <a:pt x="775360" y="33020"/>
                </a:lnTo>
                <a:lnTo>
                  <a:pt x="741641" y="33020"/>
                </a:lnTo>
                <a:lnTo>
                  <a:pt x="741641" y="0"/>
                </a:lnTo>
                <a:lnTo>
                  <a:pt x="707923" y="0"/>
                </a:lnTo>
                <a:lnTo>
                  <a:pt x="707923" y="33020"/>
                </a:lnTo>
                <a:lnTo>
                  <a:pt x="707923" y="101600"/>
                </a:lnTo>
                <a:lnTo>
                  <a:pt x="674217" y="101600"/>
                </a:lnTo>
                <a:lnTo>
                  <a:pt x="674217" y="33020"/>
                </a:lnTo>
                <a:lnTo>
                  <a:pt x="707923" y="33020"/>
                </a:lnTo>
                <a:lnTo>
                  <a:pt x="707923" y="0"/>
                </a:lnTo>
                <a:lnTo>
                  <a:pt x="674217" y="0"/>
                </a:lnTo>
                <a:lnTo>
                  <a:pt x="640511" y="0"/>
                </a:lnTo>
                <a:lnTo>
                  <a:pt x="640511" y="33020"/>
                </a:lnTo>
                <a:lnTo>
                  <a:pt x="606806" y="33020"/>
                </a:lnTo>
                <a:lnTo>
                  <a:pt x="573087" y="33020"/>
                </a:lnTo>
                <a:lnTo>
                  <a:pt x="573087" y="0"/>
                </a:lnTo>
                <a:lnTo>
                  <a:pt x="539381" y="0"/>
                </a:lnTo>
                <a:lnTo>
                  <a:pt x="539381" y="67310"/>
                </a:lnTo>
                <a:lnTo>
                  <a:pt x="573087" y="67310"/>
                </a:lnTo>
                <a:lnTo>
                  <a:pt x="573087" y="134620"/>
                </a:lnTo>
                <a:lnTo>
                  <a:pt x="539381" y="134620"/>
                </a:lnTo>
                <a:lnTo>
                  <a:pt x="539381" y="168910"/>
                </a:lnTo>
                <a:lnTo>
                  <a:pt x="573087" y="168910"/>
                </a:lnTo>
                <a:lnTo>
                  <a:pt x="606806" y="168910"/>
                </a:lnTo>
                <a:lnTo>
                  <a:pt x="606806" y="101600"/>
                </a:lnTo>
                <a:lnTo>
                  <a:pt x="640511" y="101600"/>
                </a:lnTo>
                <a:lnTo>
                  <a:pt x="640511" y="134620"/>
                </a:lnTo>
                <a:lnTo>
                  <a:pt x="674217" y="134620"/>
                </a:lnTo>
                <a:lnTo>
                  <a:pt x="674217" y="168910"/>
                </a:lnTo>
                <a:lnTo>
                  <a:pt x="707923" y="168910"/>
                </a:lnTo>
                <a:lnTo>
                  <a:pt x="707923" y="134620"/>
                </a:lnTo>
                <a:lnTo>
                  <a:pt x="741641" y="134620"/>
                </a:lnTo>
                <a:lnTo>
                  <a:pt x="741641" y="67310"/>
                </a:lnTo>
                <a:lnTo>
                  <a:pt x="775360" y="67310"/>
                </a:lnTo>
                <a:lnTo>
                  <a:pt x="775360" y="101600"/>
                </a:lnTo>
                <a:lnTo>
                  <a:pt x="809066" y="101600"/>
                </a:lnTo>
                <a:lnTo>
                  <a:pt x="809066" y="134620"/>
                </a:lnTo>
                <a:lnTo>
                  <a:pt x="842772" y="134620"/>
                </a:lnTo>
                <a:lnTo>
                  <a:pt x="842772" y="168910"/>
                </a:lnTo>
                <a:lnTo>
                  <a:pt x="876477" y="168910"/>
                </a:lnTo>
                <a:lnTo>
                  <a:pt x="876477" y="101600"/>
                </a:lnTo>
                <a:lnTo>
                  <a:pt x="910183" y="101600"/>
                </a:lnTo>
                <a:lnTo>
                  <a:pt x="910183" y="67310"/>
                </a:lnTo>
                <a:lnTo>
                  <a:pt x="943902" y="67310"/>
                </a:lnTo>
                <a:lnTo>
                  <a:pt x="943902" y="101600"/>
                </a:lnTo>
                <a:lnTo>
                  <a:pt x="910183" y="101600"/>
                </a:lnTo>
                <a:lnTo>
                  <a:pt x="910183" y="134620"/>
                </a:lnTo>
                <a:lnTo>
                  <a:pt x="943902" y="134620"/>
                </a:lnTo>
                <a:lnTo>
                  <a:pt x="943902" y="168910"/>
                </a:lnTo>
                <a:lnTo>
                  <a:pt x="910183" y="168910"/>
                </a:lnTo>
                <a:lnTo>
                  <a:pt x="876477" y="168910"/>
                </a:lnTo>
                <a:lnTo>
                  <a:pt x="876477" y="201930"/>
                </a:lnTo>
                <a:lnTo>
                  <a:pt x="910183" y="201930"/>
                </a:lnTo>
                <a:lnTo>
                  <a:pt x="943902" y="201930"/>
                </a:lnTo>
                <a:lnTo>
                  <a:pt x="943902" y="269240"/>
                </a:lnTo>
                <a:lnTo>
                  <a:pt x="910183" y="269240"/>
                </a:lnTo>
                <a:lnTo>
                  <a:pt x="910183" y="303530"/>
                </a:lnTo>
                <a:lnTo>
                  <a:pt x="943902" y="303530"/>
                </a:lnTo>
                <a:lnTo>
                  <a:pt x="943902" y="471170"/>
                </a:lnTo>
                <a:lnTo>
                  <a:pt x="977607" y="471170"/>
                </a:lnTo>
                <a:lnTo>
                  <a:pt x="977607" y="32931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50" name="object 850">
            <a:extLst>
              <a:ext uri="{FF2B5EF4-FFF2-40B4-BE49-F238E27FC236}">
                <a16:creationId xmlns:a16="http://schemas.microsoft.com/office/drawing/2014/main" id="{E3BCEA6C-A4BA-4758-975B-7C8D68DAEB48}"/>
              </a:ext>
            </a:extLst>
          </xdr:cNvPr>
          <xdr:cNvSpPr/>
        </xdr:nvSpPr>
        <xdr:spPr>
          <a:xfrm>
            <a:off x="5800966" y="3773342"/>
            <a:ext cx="674370" cy="236220"/>
          </a:xfrm>
          <a:custGeom>
            <a:avLst/>
            <a:gdLst/>
            <a:ahLst/>
            <a:cxnLst/>
            <a:rect l="l" t="t" r="r" b="b"/>
            <a:pathLst>
              <a:path w="674370" h="236220">
                <a:moveTo>
                  <a:pt x="33705" y="0"/>
                </a:moveTo>
                <a:lnTo>
                  <a:pt x="0" y="0"/>
                </a:lnTo>
                <a:lnTo>
                  <a:pt x="0" y="33705"/>
                </a:lnTo>
                <a:lnTo>
                  <a:pt x="33705" y="33705"/>
                </a:lnTo>
                <a:lnTo>
                  <a:pt x="33705" y="0"/>
                </a:lnTo>
                <a:close/>
              </a:path>
              <a:path w="674370" h="236220">
                <a:moveTo>
                  <a:pt x="67424" y="33705"/>
                </a:moveTo>
                <a:lnTo>
                  <a:pt x="33705" y="33705"/>
                </a:lnTo>
                <a:lnTo>
                  <a:pt x="33705" y="67411"/>
                </a:lnTo>
                <a:lnTo>
                  <a:pt x="67424" y="67411"/>
                </a:lnTo>
                <a:lnTo>
                  <a:pt x="67424" y="33705"/>
                </a:lnTo>
                <a:close/>
              </a:path>
              <a:path w="674370" h="236220">
                <a:moveTo>
                  <a:pt x="168541" y="0"/>
                </a:moveTo>
                <a:lnTo>
                  <a:pt x="134835" y="0"/>
                </a:lnTo>
                <a:lnTo>
                  <a:pt x="101130" y="0"/>
                </a:lnTo>
                <a:lnTo>
                  <a:pt x="101130" y="33705"/>
                </a:lnTo>
                <a:lnTo>
                  <a:pt x="134835" y="33705"/>
                </a:lnTo>
                <a:lnTo>
                  <a:pt x="168541" y="33705"/>
                </a:lnTo>
                <a:lnTo>
                  <a:pt x="168541" y="0"/>
                </a:lnTo>
                <a:close/>
              </a:path>
              <a:path w="674370" h="236220">
                <a:moveTo>
                  <a:pt x="235978" y="0"/>
                </a:moveTo>
                <a:lnTo>
                  <a:pt x="202260" y="0"/>
                </a:lnTo>
                <a:lnTo>
                  <a:pt x="168554" y="0"/>
                </a:lnTo>
                <a:lnTo>
                  <a:pt x="168554" y="33705"/>
                </a:lnTo>
                <a:lnTo>
                  <a:pt x="202260" y="33705"/>
                </a:lnTo>
                <a:lnTo>
                  <a:pt x="235978" y="33705"/>
                </a:lnTo>
                <a:lnTo>
                  <a:pt x="235978" y="0"/>
                </a:lnTo>
                <a:close/>
              </a:path>
              <a:path w="674370" h="236220">
                <a:moveTo>
                  <a:pt x="337108" y="168541"/>
                </a:moveTo>
                <a:lnTo>
                  <a:pt x="303403" y="168541"/>
                </a:lnTo>
                <a:lnTo>
                  <a:pt x="269684" y="168541"/>
                </a:lnTo>
                <a:lnTo>
                  <a:pt x="235978" y="168541"/>
                </a:lnTo>
                <a:lnTo>
                  <a:pt x="235978" y="134835"/>
                </a:lnTo>
                <a:lnTo>
                  <a:pt x="202260" y="134835"/>
                </a:lnTo>
                <a:lnTo>
                  <a:pt x="202260" y="101130"/>
                </a:lnTo>
                <a:lnTo>
                  <a:pt x="235978" y="101130"/>
                </a:lnTo>
                <a:lnTo>
                  <a:pt x="269684" y="101130"/>
                </a:lnTo>
                <a:lnTo>
                  <a:pt x="269684" y="67411"/>
                </a:lnTo>
                <a:lnTo>
                  <a:pt x="235978" y="67411"/>
                </a:lnTo>
                <a:lnTo>
                  <a:pt x="202260" y="67411"/>
                </a:lnTo>
                <a:lnTo>
                  <a:pt x="168554" y="67411"/>
                </a:lnTo>
                <a:lnTo>
                  <a:pt x="168554" y="168541"/>
                </a:lnTo>
                <a:lnTo>
                  <a:pt x="202260" y="168541"/>
                </a:lnTo>
                <a:lnTo>
                  <a:pt x="202260" y="202260"/>
                </a:lnTo>
                <a:lnTo>
                  <a:pt x="235978" y="202260"/>
                </a:lnTo>
                <a:lnTo>
                  <a:pt x="269684" y="202260"/>
                </a:lnTo>
                <a:lnTo>
                  <a:pt x="269684" y="235966"/>
                </a:lnTo>
                <a:lnTo>
                  <a:pt x="303403" y="235966"/>
                </a:lnTo>
                <a:lnTo>
                  <a:pt x="303403" y="202260"/>
                </a:lnTo>
                <a:lnTo>
                  <a:pt x="337108" y="202260"/>
                </a:lnTo>
                <a:lnTo>
                  <a:pt x="337108" y="168541"/>
                </a:lnTo>
                <a:close/>
              </a:path>
              <a:path w="674370" h="236220">
                <a:moveTo>
                  <a:pt x="337108" y="101130"/>
                </a:moveTo>
                <a:lnTo>
                  <a:pt x="303403" y="101130"/>
                </a:lnTo>
                <a:lnTo>
                  <a:pt x="303403" y="134835"/>
                </a:lnTo>
                <a:lnTo>
                  <a:pt x="337108" y="134835"/>
                </a:lnTo>
                <a:lnTo>
                  <a:pt x="337108" y="101130"/>
                </a:lnTo>
                <a:close/>
              </a:path>
              <a:path w="674370" h="236220">
                <a:moveTo>
                  <a:pt x="438238" y="134835"/>
                </a:moveTo>
                <a:lnTo>
                  <a:pt x="404520" y="134835"/>
                </a:lnTo>
                <a:lnTo>
                  <a:pt x="370814" y="134835"/>
                </a:lnTo>
                <a:lnTo>
                  <a:pt x="337108" y="134835"/>
                </a:lnTo>
                <a:lnTo>
                  <a:pt x="337108" y="168541"/>
                </a:lnTo>
                <a:lnTo>
                  <a:pt x="370814" y="168541"/>
                </a:lnTo>
                <a:lnTo>
                  <a:pt x="370814" y="202260"/>
                </a:lnTo>
                <a:lnTo>
                  <a:pt x="337108" y="202260"/>
                </a:lnTo>
                <a:lnTo>
                  <a:pt x="337108" y="235966"/>
                </a:lnTo>
                <a:lnTo>
                  <a:pt x="370814" y="235966"/>
                </a:lnTo>
                <a:lnTo>
                  <a:pt x="404520" y="235966"/>
                </a:lnTo>
                <a:lnTo>
                  <a:pt x="438238" y="235966"/>
                </a:lnTo>
                <a:lnTo>
                  <a:pt x="438238" y="202260"/>
                </a:lnTo>
                <a:lnTo>
                  <a:pt x="404520" y="202260"/>
                </a:lnTo>
                <a:lnTo>
                  <a:pt x="404520" y="168541"/>
                </a:lnTo>
                <a:lnTo>
                  <a:pt x="438238" y="168541"/>
                </a:lnTo>
                <a:lnTo>
                  <a:pt x="438238" y="134835"/>
                </a:lnTo>
                <a:close/>
              </a:path>
              <a:path w="674370" h="236220">
                <a:moveTo>
                  <a:pt x="471957" y="0"/>
                </a:moveTo>
                <a:lnTo>
                  <a:pt x="438238" y="0"/>
                </a:lnTo>
                <a:lnTo>
                  <a:pt x="438238" y="33705"/>
                </a:lnTo>
                <a:lnTo>
                  <a:pt x="471957" y="33705"/>
                </a:lnTo>
                <a:lnTo>
                  <a:pt x="471957" y="0"/>
                </a:lnTo>
                <a:close/>
              </a:path>
              <a:path w="674370" h="236220">
                <a:moveTo>
                  <a:pt x="505663" y="168541"/>
                </a:moveTo>
                <a:lnTo>
                  <a:pt x="471957" y="168541"/>
                </a:lnTo>
                <a:lnTo>
                  <a:pt x="438238" y="168541"/>
                </a:lnTo>
                <a:lnTo>
                  <a:pt x="438238" y="202260"/>
                </a:lnTo>
                <a:lnTo>
                  <a:pt x="471957" y="202260"/>
                </a:lnTo>
                <a:lnTo>
                  <a:pt x="505663" y="202260"/>
                </a:lnTo>
                <a:lnTo>
                  <a:pt x="505663" y="168541"/>
                </a:lnTo>
                <a:close/>
              </a:path>
              <a:path w="674370" h="236220">
                <a:moveTo>
                  <a:pt x="573074" y="168541"/>
                </a:moveTo>
                <a:lnTo>
                  <a:pt x="539369" y="168541"/>
                </a:lnTo>
                <a:lnTo>
                  <a:pt x="539369" y="202260"/>
                </a:lnTo>
                <a:lnTo>
                  <a:pt x="505663" y="202260"/>
                </a:lnTo>
                <a:lnTo>
                  <a:pt x="505663" y="235966"/>
                </a:lnTo>
                <a:lnTo>
                  <a:pt x="539369" y="235966"/>
                </a:lnTo>
                <a:lnTo>
                  <a:pt x="573074" y="235966"/>
                </a:lnTo>
                <a:lnTo>
                  <a:pt x="573074" y="168541"/>
                </a:lnTo>
                <a:close/>
              </a:path>
              <a:path w="674370" h="236220">
                <a:moveTo>
                  <a:pt x="573074" y="33705"/>
                </a:moveTo>
                <a:lnTo>
                  <a:pt x="539369" y="33705"/>
                </a:lnTo>
                <a:lnTo>
                  <a:pt x="539369" y="0"/>
                </a:lnTo>
                <a:lnTo>
                  <a:pt x="505663" y="0"/>
                </a:lnTo>
                <a:lnTo>
                  <a:pt x="505663" y="67411"/>
                </a:lnTo>
                <a:lnTo>
                  <a:pt x="471957" y="67411"/>
                </a:lnTo>
                <a:lnTo>
                  <a:pt x="438238" y="67411"/>
                </a:lnTo>
                <a:lnTo>
                  <a:pt x="404520" y="67411"/>
                </a:lnTo>
                <a:lnTo>
                  <a:pt x="404520" y="0"/>
                </a:lnTo>
                <a:lnTo>
                  <a:pt x="370814" y="0"/>
                </a:lnTo>
                <a:lnTo>
                  <a:pt x="337108" y="0"/>
                </a:lnTo>
                <a:lnTo>
                  <a:pt x="303403" y="0"/>
                </a:lnTo>
                <a:lnTo>
                  <a:pt x="303403" y="33705"/>
                </a:lnTo>
                <a:lnTo>
                  <a:pt x="337108" y="33705"/>
                </a:lnTo>
                <a:lnTo>
                  <a:pt x="337108" y="101130"/>
                </a:lnTo>
                <a:lnTo>
                  <a:pt x="370814" y="101130"/>
                </a:lnTo>
                <a:lnTo>
                  <a:pt x="404520" y="101130"/>
                </a:lnTo>
                <a:lnTo>
                  <a:pt x="438238" y="101130"/>
                </a:lnTo>
                <a:lnTo>
                  <a:pt x="471957" y="101130"/>
                </a:lnTo>
                <a:lnTo>
                  <a:pt x="471957" y="134835"/>
                </a:lnTo>
                <a:lnTo>
                  <a:pt x="505663" y="134835"/>
                </a:lnTo>
                <a:lnTo>
                  <a:pt x="505663" y="101130"/>
                </a:lnTo>
                <a:lnTo>
                  <a:pt x="539369" y="101130"/>
                </a:lnTo>
                <a:lnTo>
                  <a:pt x="539369" y="67411"/>
                </a:lnTo>
                <a:lnTo>
                  <a:pt x="573074" y="67411"/>
                </a:lnTo>
                <a:lnTo>
                  <a:pt x="573074" y="33705"/>
                </a:lnTo>
                <a:close/>
              </a:path>
              <a:path w="674370" h="236220">
                <a:moveTo>
                  <a:pt x="674204" y="0"/>
                </a:moveTo>
                <a:lnTo>
                  <a:pt x="640499" y="0"/>
                </a:lnTo>
                <a:lnTo>
                  <a:pt x="606780" y="0"/>
                </a:lnTo>
                <a:lnTo>
                  <a:pt x="606780" y="33705"/>
                </a:lnTo>
                <a:lnTo>
                  <a:pt x="640499" y="33705"/>
                </a:lnTo>
                <a:lnTo>
                  <a:pt x="640499" y="67411"/>
                </a:lnTo>
                <a:lnTo>
                  <a:pt x="606780" y="67411"/>
                </a:lnTo>
                <a:lnTo>
                  <a:pt x="606780" y="235966"/>
                </a:lnTo>
                <a:lnTo>
                  <a:pt x="640499" y="235966"/>
                </a:lnTo>
                <a:lnTo>
                  <a:pt x="640499" y="202260"/>
                </a:lnTo>
                <a:lnTo>
                  <a:pt x="674204" y="202260"/>
                </a:lnTo>
                <a:lnTo>
                  <a:pt x="674204" y="134835"/>
                </a:lnTo>
                <a:lnTo>
                  <a:pt x="640499" y="134835"/>
                </a:lnTo>
                <a:lnTo>
                  <a:pt x="640499" y="101130"/>
                </a:lnTo>
                <a:lnTo>
                  <a:pt x="674204" y="101130"/>
                </a:lnTo>
                <a:lnTo>
                  <a:pt x="674204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51" name="object 851">
            <a:extLst>
              <a:ext uri="{FF2B5EF4-FFF2-40B4-BE49-F238E27FC236}">
                <a16:creationId xmlns:a16="http://schemas.microsoft.com/office/drawing/2014/main" id="{5B6714E2-1635-40D7-B877-E4141B486965}"/>
              </a:ext>
            </a:extLst>
          </xdr:cNvPr>
          <xdr:cNvSpPr/>
        </xdr:nvSpPr>
        <xdr:spPr>
          <a:xfrm>
            <a:off x="9241977" y="2997136"/>
            <a:ext cx="1075055" cy="1061720"/>
          </a:xfrm>
          <a:custGeom>
            <a:avLst/>
            <a:gdLst/>
            <a:ahLst/>
            <a:cxnLst/>
            <a:rect l="l" t="t" r="r" b="b"/>
            <a:pathLst>
              <a:path w="1075054" h="1061720">
                <a:moveTo>
                  <a:pt x="1074924" y="0"/>
                </a:moveTo>
                <a:lnTo>
                  <a:pt x="0" y="0"/>
                </a:lnTo>
                <a:lnTo>
                  <a:pt x="0" y="1061518"/>
                </a:lnTo>
                <a:lnTo>
                  <a:pt x="1074924" y="1061518"/>
                </a:lnTo>
                <a:lnTo>
                  <a:pt x="1074924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</xdr:grpSp>
    <xdr:clientData/>
  </xdr:twoCellAnchor>
  <xdr:twoCellAnchor>
    <xdr:from>
      <xdr:col>0</xdr:col>
      <xdr:colOff>10627957</xdr:colOff>
      <xdr:row>208</xdr:row>
      <xdr:rowOff>29102</xdr:rowOff>
    </xdr:from>
    <xdr:to>
      <xdr:col>0</xdr:col>
      <xdr:colOff>12634795</xdr:colOff>
      <xdr:row>211</xdr:row>
      <xdr:rowOff>134894</xdr:rowOff>
    </xdr:to>
    <xdr:sp macro="" textlink="">
      <xdr:nvSpPr>
        <xdr:cNvPr id="36" name="object 852">
          <a:extLst>
            <a:ext uri="{FF2B5EF4-FFF2-40B4-BE49-F238E27FC236}">
              <a16:creationId xmlns:a16="http://schemas.microsoft.com/office/drawing/2014/main" id="{C48AE86C-789B-41C1-A924-65403E23B43A}"/>
            </a:ext>
          </a:extLst>
        </xdr:cNvPr>
        <xdr:cNvSpPr txBox="1"/>
      </xdr:nvSpPr>
      <xdr:spPr>
        <a:xfrm>
          <a:off x="10627957" y="39781169"/>
          <a:ext cx="2006838" cy="586044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>
            <a:lnSpc>
              <a:spcPct val="100000"/>
            </a:lnSpc>
            <a:spcBef>
              <a:spcPts val="100"/>
            </a:spcBef>
          </a:pPr>
          <a:r>
            <a:rPr sz="1800" b="1" spc="0" baseline="0">
              <a:solidFill>
                <a:srgbClr val="FFFFFF"/>
              </a:solidFill>
              <a:latin typeface="Calibri"/>
              <a:cs typeface="Calibri"/>
            </a:rPr>
            <a:t>ТЕХНИЧЕСКАЯ  ПОДДЕРЖКА</a:t>
          </a:r>
          <a:endParaRPr sz="1800" spc="0" baseline="0"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6782512</xdr:colOff>
      <xdr:row>208</xdr:row>
      <xdr:rowOff>35505</xdr:rowOff>
    </xdr:from>
    <xdr:to>
      <xdr:col>0</xdr:col>
      <xdr:colOff>9099176</xdr:colOff>
      <xdr:row>211</xdr:row>
      <xdr:rowOff>141297</xdr:rowOff>
    </xdr:to>
    <xdr:sp macro="" textlink="">
      <xdr:nvSpPr>
        <xdr:cNvPr id="37" name="object 854">
          <a:extLst>
            <a:ext uri="{FF2B5EF4-FFF2-40B4-BE49-F238E27FC236}">
              <a16:creationId xmlns:a16="http://schemas.microsoft.com/office/drawing/2014/main" id="{3A53E3CD-AC03-4DB2-9DFB-67B35DCE236E}"/>
            </a:ext>
          </a:extLst>
        </xdr:cNvPr>
        <xdr:cNvSpPr txBox="1"/>
      </xdr:nvSpPr>
      <xdr:spPr>
        <a:xfrm>
          <a:off x="6782512" y="39787572"/>
          <a:ext cx="2316664" cy="586044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>
            <a:lnSpc>
              <a:spcPct val="100000"/>
            </a:lnSpc>
            <a:spcBef>
              <a:spcPts val="100"/>
            </a:spcBef>
          </a:pPr>
          <a:r>
            <a:rPr sz="1800" b="1" spc="0" baseline="0">
              <a:solidFill>
                <a:srgbClr val="FFFFFF"/>
              </a:solidFill>
              <a:latin typeface="Calibri"/>
              <a:cs typeface="Calibri"/>
            </a:rPr>
            <a:t>ОФИЦИАЛЬНЫЙ САЙТ  ТЕПЛОКОМ</a:t>
          </a:r>
          <a:endParaRPr sz="1800" spc="0" baseline="0"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9328393</xdr:colOff>
      <xdr:row>206</xdr:row>
      <xdr:rowOff>74715</xdr:rowOff>
    </xdr:from>
    <xdr:to>
      <xdr:col>0</xdr:col>
      <xdr:colOff>10305137</xdr:colOff>
      <xdr:row>212</xdr:row>
      <xdr:rowOff>71580</xdr:rowOff>
    </xdr:to>
    <xdr:grpSp>
      <xdr:nvGrpSpPr>
        <xdr:cNvPr id="38" name="object 855">
          <a:extLst>
            <a:ext uri="{FF2B5EF4-FFF2-40B4-BE49-F238E27FC236}">
              <a16:creationId xmlns:a16="http://schemas.microsoft.com/office/drawing/2014/main" id="{1567613C-2073-409A-B285-8BF55D7CFF45}"/>
            </a:ext>
          </a:extLst>
        </xdr:cNvPr>
        <xdr:cNvGrpSpPr/>
      </xdr:nvGrpSpPr>
      <xdr:grpSpPr>
        <a:xfrm>
          <a:off x="9328393" y="39506614"/>
          <a:ext cx="976744" cy="957370"/>
          <a:chOff x="9294775" y="3046483"/>
          <a:chExt cx="976744" cy="976579"/>
        </a:xfrm>
      </xdr:grpSpPr>
      <xdr:sp macro="" textlink="">
        <xdr:nvSpPr>
          <xdr:cNvPr id="39" name="object 856">
            <a:extLst>
              <a:ext uri="{FF2B5EF4-FFF2-40B4-BE49-F238E27FC236}">
                <a16:creationId xmlns:a16="http://schemas.microsoft.com/office/drawing/2014/main" id="{E9C9F7B3-09C3-4CF2-80C5-E77BE3C89CAD}"/>
              </a:ext>
            </a:extLst>
          </xdr:cNvPr>
          <xdr:cNvSpPr/>
        </xdr:nvSpPr>
        <xdr:spPr>
          <a:xfrm>
            <a:off x="9294775" y="3046483"/>
            <a:ext cx="976630" cy="384810"/>
          </a:xfrm>
          <a:custGeom>
            <a:avLst/>
            <a:gdLst/>
            <a:ahLst/>
            <a:cxnLst/>
            <a:rect l="l" t="t" r="r" b="b"/>
            <a:pathLst>
              <a:path w="976629" h="384810">
                <a:moveTo>
                  <a:pt x="147916" y="59169"/>
                </a:moveTo>
                <a:lnTo>
                  <a:pt x="118338" y="59169"/>
                </a:lnTo>
                <a:lnTo>
                  <a:pt x="88747" y="59169"/>
                </a:lnTo>
                <a:lnTo>
                  <a:pt x="59169" y="59169"/>
                </a:lnTo>
                <a:lnTo>
                  <a:pt x="59169" y="118338"/>
                </a:lnTo>
                <a:lnTo>
                  <a:pt x="59169" y="147929"/>
                </a:lnTo>
                <a:lnTo>
                  <a:pt x="88747" y="147929"/>
                </a:lnTo>
                <a:lnTo>
                  <a:pt x="118338" y="147929"/>
                </a:lnTo>
                <a:lnTo>
                  <a:pt x="147916" y="147929"/>
                </a:lnTo>
                <a:lnTo>
                  <a:pt x="147916" y="118338"/>
                </a:lnTo>
                <a:lnTo>
                  <a:pt x="147916" y="59169"/>
                </a:lnTo>
                <a:close/>
              </a:path>
              <a:path w="976629" h="384810">
                <a:moveTo>
                  <a:pt x="207086" y="0"/>
                </a:moveTo>
                <a:lnTo>
                  <a:pt x="177507" y="0"/>
                </a:lnTo>
                <a:lnTo>
                  <a:pt x="177507" y="29591"/>
                </a:lnTo>
                <a:lnTo>
                  <a:pt x="177507" y="118338"/>
                </a:lnTo>
                <a:lnTo>
                  <a:pt x="177507" y="177507"/>
                </a:lnTo>
                <a:lnTo>
                  <a:pt x="147916" y="177507"/>
                </a:lnTo>
                <a:lnTo>
                  <a:pt x="118338" y="177507"/>
                </a:lnTo>
                <a:lnTo>
                  <a:pt x="88747" y="177507"/>
                </a:lnTo>
                <a:lnTo>
                  <a:pt x="59169" y="177507"/>
                </a:lnTo>
                <a:lnTo>
                  <a:pt x="29578" y="177507"/>
                </a:lnTo>
                <a:lnTo>
                  <a:pt x="29578" y="118338"/>
                </a:lnTo>
                <a:lnTo>
                  <a:pt x="29578" y="29591"/>
                </a:lnTo>
                <a:lnTo>
                  <a:pt x="59169" y="29591"/>
                </a:lnTo>
                <a:lnTo>
                  <a:pt x="88747" y="29591"/>
                </a:lnTo>
                <a:lnTo>
                  <a:pt x="118338" y="29591"/>
                </a:lnTo>
                <a:lnTo>
                  <a:pt x="147916" y="29591"/>
                </a:lnTo>
                <a:lnTo>
                  <a:pt x="177507" y="29591"/>
                </a:lnTo>
                <a:lnTo>
                  <a:pt x="177507" y="0"/>
                </a:lnTo>
                <a:lnTo>
                  <a:pt x="0" y="0"/>
                </a:lnTo>
                <a:lnTo>
                  <a:pt x="0" y="118338"/>
                </a:lnTo>
                <a:lnTo>
                  <a:pt x="0" y="207098"/>
                </a:lnTo>
                <a:lnTo>
                  <a:pt x="29578" y="207098"/>
                </a:lnTo>
                <a:lnTo>
                  <a:pt x="59169" y="207098"/>
                </a:lnTo>
                <a:lnTo>
                  <a:pt x="207086" y="207098"/>
                </a:lnTo>
                <a:lnTo>
                  <a:pt x="207086" y="118338"/>
                </a:lnTo>
                <a:lnTo>
                  <a:pt x="207086" y="0"/>
                </a:lnTo>
                <a:close/>
              </a:path>
              <a:path w="976629" h="384810">
                <a:moveTo>
                  <a:pt x="236664" y="325424"/>
                </a:moveTo>
                <a:lnTo>
                  <a:pt x="207086" y="325424"/>
                </a:lnTo>
                <a:lnTo>
                  <a:pt x="207086" y="355015"/>
                </a:lnTo>
                <a:lnTo>
                  <a:pt x="236664" y="355015"/>
                </a:lnTo>
                <a:lnTo>
                  <a:pt x="236664" y="325424"/>
                </a:lnTo>
                <a:close/>
              </a:path>
              <a:path w="976629" h="384810">
                <a:moveTo>
                  <a:pt x="236664" y="266255"/>
                </a:moveTo>
                <a:lnTo>
                  <a:pt x="207086" y="266255"/>
                </a:lnTo>
                <a:lnTo>
                  <a:pt x="207086" y="295846"/>
                </a:lnTo>
                <a:lnTo>
                  <a:pt x="236664" y="295846"/>
                </a:lnTo>
                <a:lnTo>
                  <a:pt x="236664" y="266255"/>
                </a:lnTo>
                <a:close/>
              </a:path>
              <a:path w="976629" h="384810">
                <a:moveTo>
                  <a:pt x="266255" y="355015"/>
                </a:moveTo>
                <a:lnTo>
                  <a:pt x="236664" y="355015"/>
                </a:lnTo>
                <a:lnTo>
                  <a:pt x="236664" y="384594"/>
                </a:lnTo>
                <a:lnTo>
                  <a:pt x="266255" y="384594"/>
                </a:lnTo>
                <a:lnTo>
                  <a:pt x="266255" y="355015"/>
                </a:lnTo>
                <a:close/>
              </a:path>
              <a:path w="976629" h="384810">
                <a:moveTo>
                  <a:pt x="295833" y="147929"/>
                </a:moveTo>
                <a:lnTo>
                  <a:pt x="266255" y="147929"/>
                </a:lnTo>
                <a:lnTo>
                  <a:pt x="236664" y="147929"/>
                </a:lnTo>
                <a:lnTo>
                  <a:pt x="236664" y="236677"/>
                </a:lnTo>
                <a:lnTo>
                  <a:pt x="266255" y="236677"/>
                </a:lnTo>
                <a:lnTo>
                  <a:pt x="266255" y="177507"/>
                </a:lnTo>
                <a:lnTo>
                  <a:pt x="295833" y="177507"/>
                </a:lnTo>
                <a:lnTo>
                  <a:pt x="295833" y="147929"/>
                </a:lnTo>
                <a:close/>
              </a:path>
              <a:path w="976629" h="384810">
                <a:moveTo>
                  <a:pt x="325424" y="177507"/>
                </a:moveTo>
                <a:lnTo>
                  <a:pt x="295833" y="177507"/>
                </a:lnTo>
                <a:lnTo>
                  <a:pt x="295833" y="236677"/>
                </a:lnTo>
                <a:lnTo>
                  <a:pt x="325424" y="236677"/>
                </a:lnTo>
                <a:lnTo>
                  <a:pt x="325424" y="177507"/>
                </a:lnTo>
                <a:close/>
              </a:path>
              <a:path w="976629" h="384810">
                <a:moveTo>
                  <a:pt x="355003" y="29591"/>
                </a:moveTo>
                <a:lnTo>
                  <a:pt x="325424" y="29591"/>
                </a:lnTo>
                <a:lnTo>
                  <a:pt x="295833" y="29591"/>
                </a:lnTo>
                <a:lnTo>
                  <a:pt x="266255" y="29591"/>
                </a:lnTo>
                <a:lnTo>
                  <a:pt x="266255" y="59169"/>
                </a:lnTo>
                <a:lnTo>
                  <a:pt x="295833" y="59169"/>
                </a:lnTo>
                <a:lnTo>
                  <a:pt x="325424" y="59169"/>
                </a:lnTo>
                <a:lnTo>
                  <a:pt x="355003" y="59169"/>
                </a:lnTo>
                <a:lnTo>
                  <a:pt x="355003" y="29591"/>
                </a:lnTo>
                <a:close/>
              </a:path>
              <a:path w="976629" h="384810">
                <a:moveTo>
                  <a:pt x="384594" y="325424"/>
                </a:moveTo>
                <a:lnTo>
                  <a:pt x="355003" y="325424"/>
                </a:lnTo>
                <a:lnTo>
                  <a:pt x="355003" y="295846"/>
                </a:lnTo>
                <a:lnTo>
                  <a:pt x="325424" y="295846"/>
                </a:lnTo>
                <a:lnTo>
                  <a:pt x="325424" y="266255"/>
                </a:lnTo>
                <a:lnTo>
                  <a:pt x="295833" y="266255"/>
                </a:lnTo>
                <a:lnTo>
                  <a:pt x="266255" y="266255"/>
                </a:lnTo>
                <a:lnTo>
                  <a:pt x="266255" y="295846"/>
                </a:lnTo>
                <a:lnTo>
                  <a:pt x="236664" y="295846"/>
                </a:lnTo>
                <a:lnTo>
                  <a:pt x="236664" y="325424"/>
                </a:lnTo>
                <a:lnTo>
                  <a:pt x="266255" y="325424"/>
                </a:lnTo>
                <a:lnTo>
                  <a:pt x="266255" y="355015"/>
                </a:lnTo>
                <a:lnTo>
                  <a:pt x="295833" y="355015"/>
                </a:lnTo>
                <a:lnTo>
                  <a:pt x="295833" y="384594"/>
                </a:lnTo>
                <a:lnTo>
                  <a:pt x="325424" y="384594"/>
                </a:lnTo>
                <a:lnTo>
                  <a:pt x="325424" y="355015"/>
                </a:lnTo>
                <a:lnTo>
                  <a:pt x="355003" y="355015"/>
                </a:lnTo>
                <a:lnTo>
                  <a:pt x="384594" y="355015"/>
                </a:lnTo>
                <a:lnTo>
                  <a:pt x="384594" y="325424"/>
                </a:lnTo>
                <a:close/>
              </a:path>
              <a:path w="976629" h="384810">
                <a:moveTo>
                  <a:pt x="414172" y="355015"/>
                </a:moveTo>
                <a:lnTo>
                  <a:pt x="384594" y="355015"/>
                </a:lnTo>
                <a:lnTo>
                  <a:pt x="384594" y="384594"/>
                </a:lnTo>
                <a:lnTo>
                  <a:pt x="414172" y="384594"/>
                </a:lnTo>
                <a:lnTo>
                  <a:pt x="414172" y="355015"/>
                </a:lnTo>
                <a:close/>
              </a:path>
              <a:path w="976629" h="384810">
                <a:moveTo>
                  <a:pt x="414172" y="0"/>
                </a:moveTo>
                <a:lnTo>
                  <a:pt x="384594" y="0"/>
                </a:lnTo>
                <a:lnTo>
                  <a:pt x="355003" y="0"/>
                </a:lnTo>
                <a:lnTo>
                  <a:pt x="355003" y="29591"/>
                </a:lnTo>
                <a:lnTo>
                  <a:pt x="384594" y="29591"/>
                </a:lnTo>
                <a:lnTo>
                  <a:pt x="384594" y="59169"/>
                </a:lnTo>
                <a:lnTo>
                  <a:pt x="414172" y="59169"/>
                </a:lnTo>
                <a:lnTo>
                  <a:pt x="414172" y="0"/>
                </a:lnTo>
                <a:close/>
              </a:path>
              <a:path w="976629" h="384810">
                <a:moveTo>
                  <a:pt x="443763" y="266255"/>
                </a:moveTo>
                <a:lnTo>
                  <a:pt x="414172" y="266255"/>
                </a:lnTo>
                <a:lnTo>
                  <a:pt x="384594" y="266255"/>
                </a:lnTo>
                <a:lnTo>
                  <a:pt x="384594" y="295846"/>
                </a:lnTo>
                <a:lnTo>
                  <a:pt x="414172" y="295846"/>
                </a:lnTo>
                <a:lnTo>
                  <a:pt x="443763" y="295846"/>
                </a:lnTo>
                <a:lnTo>
                  <a:pt x="443763" y="266255"/>
                </a:lnTo>
                <a:close/>
              </a:path>
              <a:path w="976629" h="384810">
                <a:moveTo>
                  <a:pt x="473341" y="295846"/>
                </a:moveTo>
                <a:lnTo>
                  <a:pt x="443763" y="295846"/>
                </a:lnTo>
                <a:lnTo>
                  <a:pt x="443763" y="325424"/>
                </a:lnTo>
                <a:lnTo>
                  <a:pt x="473341" y="325424"/>
                </a:lnTo>
                <a:lnTo>
                  <a:pt x="473341" y="295846"/>
                </a:lnTo>
                <a:close/>
              </a:path>
              <a:path w="976629" h="384810">
                <a:moveTo>
                  <a:pt x="473341" y="59169"/>
                </a:moveTo>
                <a:lnTo>
                  <a:pt x="443763" y="59169"/>
                </a:lnTo>
                <a:lnTo>
                  <a:pt x="443763" y="88760"/>
                </a:lnTo>
                <a:lnTo>
                  <a:pt x="414172" y="88760"/>
                </a:lnTo>
                <a:lnTo>
                  <a:pt x="236664" y="88760"/>
                </a:lnTo>
                <a:lnTo>
                  <a:pt x="236664" y="118338"/>
                </a:lnTo>
                <a:lnTo>
                  <a:pt x="266255" y="118338"/>
                </a:lnTo>
                <a:lnTo>
                  <a:pt x="295833" y="118338"/>
                </a:lnTo>
                <a:lnTo>
                  <a:pt x="295833" y="147929"/>
                </a:lnTo>
                <a:lnTo>
                  <a:pt x="325424" y="147929"/>
                </a:lnTo>
                <a:lnTo>
                  <a:pt x="325424" y="118338"/>
                </a:lnTo>
                <a:lnTo>
                  <a:pt x="355003" y="118338"/>
                </a:lnTo>
                <a:lnTo>
                  <a:pt x="384594" y="118338"/>
                </a:lnTo>
                <a:lnTo>
                  <a:pt x="414172" y="118338"/>
                </a:lnTo>
                <a:lnTo>
                  <a:pt x="443763" y="118338"/>
                </a:lnTo>
                <a:lnTo>
                  <a:pt x="473341" y="118338"/>
                </a:lnTo>
                <a:lnTo>
                  <a:pt x="473341" y="59169"/>
                </a:lnTo>
                <a:close/>
              </a:path>
              <a:path w="976629" h="384810">
                <a:moveTo>
                  <a:pt x="473341" y="0"/>
                </a:moveTo>
                <a:lnTo>
                  <a:pt x="443763" y="0"/>
                </a:lnTo>
                <a:lnTo>
                  <a:pt x="443763" y="29591"/>
                </a:lnTo>
                <a:lnTo>
                  <a:pt x="473341" y="29591"/>
                </a:lnTo>
                <a:lnTo>
                  <a:pt x="473341" y="0"/>
                </a:lnTo>
                <a:close/>
              </a:path>
              <a:path w="976629" h="384810">
                <a:moveTo>
                  <a:pt x="502920" y="29591"/>
                </a:moveTo>
                <a:lnTo>
                  <a:pt x="473341" y="29591"/>
                </a:lnTo>
                <a:lnTo>
                  <a:pt x="473341" y="59169"/>
                </a:lnTo>
                <a:lnTo>
                  <a:pt x="502920" y="59169"/>
                </a:lnTo>
                <a:lnTo>
                  <a:pt x="502920" y="29591"/>
                </a:lnTo>
                <a:close/>
              </a:path>
              <a:path w="976629" h="384810">
                <a:moveTo>
                  <a:pt x="532511" y="59169"/>
                </a:moveTo>
                <a:lnTo>
                  <a:pt x="502920" y="59169"/>
                </a:lnTo>
                <a:lnTo>
                  <a:pt x="502920" y="88760"/>
                </a:lnTo>
                <a:lnTo>
                  <a:pt x="532511" y="88760"/>
                </a:lnTo>
                <a:lnTo>
                  <a:pt x="532511" y="59169"/>
                </a:lnTo>
                <a:close/>
              </a:path>
              <a:path w="976629" h="384810">
                <a:moveTo>
                  <a:pt x="532511" y="0"/>
                </a:moveTo>
                <a:lnTo>
                  <a:pt x="502920" y="0"/>
                </a:lnTo>
                <a:lnTo>
                  <a:pt x="502920" y="29591"/>
                </a:lnTo>
                <a:lnTo>
                  <a:pt x="532511" y="29591"/>
                </a:lnTo>
                <a:lnTo>
                  <a:pt x="532511" y="0"/>
                </a:lnTo>
                <a:close/>
              </a:path>
              <a:path w="976629" h="384810">
                <a:moveTo>
                  <a:pt x="591680" y="59169"/>
                </a:moveTo>
                <a:lnTo>
                  <a:pt x="562089" y="59169"/>
                </a:lnTo>
                <a:lnTo>
                  <a:pt x="562089" y="118338"/>
                </a:lnTo>
                <a:lnTo>
                  <a:pt x="591680" y="118338"/>
                </a:lnTo>
                <a:lnTo>
                  <a:pt x="591680" y="59169"/>
                </a:lnTo>
                <a:close/>
              </a:path>
              <a:path w="976629" h="384810">
                <a:moveTo>
                  <a:pt x="591680" y="0"/>
                </a:moveTo>
                <a:lnTo>
                  <a:pt x="562089" y="0"/>
                </a:lnTo>
                <a:lnTo>
                  <a:pt x="562089" y="29591"/>
                </a:lnTo>
                <a:lnTo>
                  <a:pt x="591680" y="29591"/>
                </a:lnTo>
                <a:lnTo>
                  <a:pt x="591680" y="0"/>
                </a:lnTo>
                <a:close/>
              </a:path>
              <a:path w="976629" h="384810">
                <a:moveTo>
                  <a:pt x="621258" y="29591"/>
                </a:moveTo>
                <a:lnTo>
                  <a:pt x="591680" y="29591"/>
                </a:lnTo>
                <a:lnTo>
                  <a:pt x="591680" y="59169"/>
                </a:lnTo>
                <a:lnTo>
                  <a:pt x="621258" y="59169"/>
                </a:lnTo>
                <a:lnTo>
                  <a:pt x="621258" y="29591"/>
                </a:lnTo>
                <a:close/>
              </a:path>
              <a:path w="976629" h="384810">
                <a:moveTo>
                  <a:pt x="650849" y="59169"/>
                </a:moveTo>
                <a:lnTo>
                  <a:pt x="621271" y="59169"/>
                </a:lnTo>
                <a:lnTo>
                  <a:pt x="621271" y="88760"/>
                </a:lnTo>
                <a:lnTo>
                  <a:pt x="650849" y="88760"/>
                </a:lnTo>
                <a:lnTo>
                  <a:pt x="650849" y="59169"/>
                </a:lnTo>
                <a:close/>
              </a:path>
              <a:path w="976629" h="384810">
                <a:moveTo>
                  <a:pt x="650849" y="0"/>
                </a:moveTo>
                <a:lnTo>
                  <a:pt x="621271" y="0"/>
                </a:lnTo>
                <a:lnTo>
                  <a:pt x="621271" y="29591"/>
                </a:lnTo>
                <a:lnTo>
                  <a:pt x="650849" y="29591"/>
                </a:lnTo>
                <a:lnTo>
                  <a:pt x="650849" y="0"/>
                </a:lnTo>
                <a:close/>
              </a:path>
              <a:path w="976629" h="384810">
                <a:moveTo>
                  <a:pt x="710018" y="88760"/>
                </a:moveTo>
                <a:lnTo>
                  <a:pt x="680427" y="88760"/>
                </a:lnTo>
                <a:lnTo>
                  <a:pt x="680427" y="118338"/>
                </a:lnTo>
                <a:lnTo>
                  <a:pt x="710018" y="118338"/>
                </a:lnTo>
                <a:lnTo>
                  <a:pt x="710018" y="88760"/>
                </a:lnTo>
                <a:close/>
              </a:path>
              <a:path w="976629" h="384810">
                <a:moveTo>
                  <a:pt x="710018" y="0"/>
                </a:moveTo>
                <a:lnTo>
                  <a:pt x="680427" y="0"/>
                </a:lnTo>
                <a:lnTo>
                  <a:pt x="680427" y="29591"/>
                </a:lnTo>
                <a:lnTo>
                  <a:pt x="710018" y="29591"/>
                </a:lnTo>
                <a:lnTo>
                  <a:pt x="710018" y="0"/>
                </a:lnTo>
                <a:close/>
              </a:path>
              <a:path w="976629" h="384810">
                <a:moveTo>
                  <a:pt x="739597" y="29591"/>
                </a:moveTo>
                <a:lnTo>
                  <a:pt x="710018" y="29591"/>
                </a:lnTo>
                <a:lnTo>
                  <a:pt x="710018" y="59169"/>
                </a:lnTo>
                <a:lnTo>
                  <a:pt x="739597" y="59169"/>
                </a:lnTo>
                <a:lnTo>
                  <a:pt x="739597" y="29591"/>
                </a:lnTo>
                <a:close/>
              </a:path>
              <a:path w="976629" h="384810">
                <a:moveTo>
                  <a:pt x="887514" y="59169"/>
                </a:moveTo>
                <a:lnTo>
                  <a:pt x="857935" y="59169"/>
                </a:lnTo>
                <a:lnTo>
                  <a:pt x="828357" y="59169"/>
                </a:lnTo>
                <a:lnTo>
                  <a:pt x="828357" y="118338"/>
                </a:lnTo>
                <a:lnTo>
                  <a:pt x="857935" y="118338"/>
                </a:lnTo>
                <a:lnTo>
                  <a:pt x="887514" y="118338"/>
                </a:lnTo>
                <a:lnTo>
                  <a:pt x="887514" y="59169"/>
                </a:lnTo>
                <a:close/>
              </a:path>
              <a:path w="976629" h="384810">
                <a:moveTo>
                  <a:pt x="887514" y="0"/>
                </a:moveTo>
                <a:lnTo>
                  <a:pt x="857935" y="0"/>
                </a:lnTo>
                <a:lnTo>
                  <a:pt x="828357" y="0"/>
                </a:lnTo>
                <a:lnTo>
                  <a:pt x="798766" y="0"/>
                </a:lnTo>
                <a:lnTo>
                  <a:pt x="769188" y="0"/>
                </a:lnTo>
                <a:lnTo>
                  <a:pt x="769188" y="118338"/>
                </a:lnTo>
                <a:lnTo>
                  <a:pt x="798766" y="118338"/>
                </a:lnTo>
                <a:lnTo>
                  <a:pt x="798766" y="29591"/>
                </a:lnTo>
                <a:lnTo>
                  <a:pt x="828357" y="29591"/>
                </a:lnTo>
                <a:lnTo>
                  <a:pt x="857935" y="29591"/>
                </a:lnTo>
                <a:lnTo>
                  <a:pt x="887514" y="29591"/>
                </a:lnTo>
                <a:lnTo>
                  <a:pt x="887514" y="0"/>
                </a:lnTo>
                <a:close/>
              </a:path>
              <a:path w="976629" h="384810">
                <a:moveTo>
                  <a:pt x="917105" y="59169"/>
                </a:moveTo>
                <a:lnTo>
                  <a:pt x="887526" y="59169"/>
                </a:lnTo>
                <a:lnTo>
                  <a:pt x="887526" y="118338"/>
                </a:lnTo>
                <a:lnTo>
                  <a:pt x="917105" y="118338"/>
                </a:lnTo>
                <a:lnTo>
                  <a:pt x="917105" y="59169"/>
                </a:lnTo>
                <a:close/>
              </a:path>
              <a:path w="976629" h="384810">
                <a:moveTo>
                  <a:pt x="976274" y="0"/>
                </a:moveTo>
                <a:lnTo>
                  <a:pt x="946683" y="0"/>
                </a:lnTo>
                <a:lnTo>
                  <a:pt x="917105" y="0"/>
                </a:lnTo>
                <a:lnTo>
                  <a:pt x="887526" y="0"/>
                </a:lnTo>
                <a:lnTo>
                  <a:pt x="887526" y="29591"/>
                </a:lnTo>
                <a:lnTo>
                  <a:pt x="917105" y="29591"/>
                </a:lnTo>
                <a:lnTo>
                  <a:pt x="946683" y="29591"/>
                </a:lnTo>
                <a:lnTo>
                  <a:pt x="946683" y="118338"/>
                </a:lnTo>
                <a:lnTo>
                  <a:pt x="976274" y="118338"/>
                </a:lnTo>
                <a:lnTo>
                  <a:pt x="976274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0" name="object 857">
            <a:extLst>
              <a:ext uri="{FF2B5EF4-FFF2-40B4-BE49-F238E27FC236}">
                <a16:creationId xmlns:a16="http://schemas.microsoft.com/office/drawing/2014/main" id="{E7B7B04C-C044-491F-BB87-07BB278E2958}"/>
              </a:ext>
            </a:extLst>
          </xdr:cNvPr>
          <xdr:cNvSpPr/>
        </xdr:nvSpPr>
        <xdr:spPr>
          <a:xfrm>
            <a:off x="9294775" y="3164821"/>
            <a:ext cx="976630" cy="414655"/>
          </a:xfrm>
          <a:custGeom>
            <a:avLst/>
            <a:gdLst/>
            <a:ahLst/>
            <a:cxnLst/>
            <a:rect l="l" t="t" r="r" b="b"/>
            <a:pathLst>
              <a:path w="976629" h="414654">
                <a:moveTo>
                  <a:pt x="29578" y="355015"/>
                </a:moveTo>
                <a:lnTo>
                  <a:pt x="0" y="355015"/>
                </a:lnTo>
                <a:lnTo>
                  <a:pt x="0" y="414172"/>
                </a:lnTo>
                <a:lnTo>
                  <a:pt x="29578" y="414172"/>
                </a:lnTo>
                <a:lnTo>
                  <a:pt x="29578" y="355015"/>
                </a:lnTo>
                <a:close/>
              </a:path>
              <a:path w="976629" h="414654">
                <a:moveTo>
                  <a:pt x="29578" y="147916"/>
                </a:moveTo>
                <a:lnTo>
                  <a:pt x="0" y="147916"/>
                </a:lnTo>
                <a:lnTo>
                  <a:pt x="0" y="177507"/>
                </a:lnTo>
                <a:lnTo>
                  <a:pt x="29578" y="177507"/>
                </a:lnTo>
                <a:lnTo>
                  <a:pt x="29578" y="147916"/>
                </a:lnTo>
                <a:close/>
              </a:path>
              <a:path w="976629" h="414654">
                <a:moveTo>
                  <a:pt x="88747" y="118338"/>
                </a:moveTo>
                <a:lnTo>
                  <a:pt x="59169" y="118338"/>
                </a:lnTo>
                <a:lnTo>
                  <a:pt x="29578" y="118338"/>
                </a:lnTo>
                <a:lnTo>
                  <a:pt x="29578" y="147916"/>
                </a:lnTo>
                <a:lnTo>
                  <a:pt x="59169" y="147916"/>
                </a:lnTo>
                <a:lnTo>
                  <a:pt x="88747" y="147916"/>
                </a:lnTo>
                <a:lnTo>
                  <a:pt x="88747" y="118338"/>
                </a:lnTo>
                <a:close/>
              </a:path>
              <a:path w="976629" h="414654">
                <a:moveTo>
                  <a:pt x="207086" y="236677"/>
                </a:moveTo>
                <a:lnTo>
                  <a:pt x="177507" y="236677"/>
                </a:lnTo>
                <a:lnTo>
                  <a:pt x="147916" y="236677"/>
                </a:lnTo>
                <a:lnTo>
                  <a:pt x="147916" y="147916"/>
                </a:lnTo>
                <a:lnTo>
                  <a:pt x="118338" y="147916"/>
                </a:lnTo>
                <a:lnTo>
                  <a:pt x="88747" y="147916"/>
                </a:lnTo>
                <a:lnTo>
                  <a:pt x="88747" y="207086"/>
                </a:lnTo>
                <a:lnTo>
                  <a:pt x="118338" y="207086"/>
                </a:lnTo>
                <a:lnTo>
                  <a:pt x="118338" y="236677"/>
                </a:lnTo>
                <a:lnTo>
                  <a:pt x="88747" y="236677"/>
                </a:lnTo>
                <a:lnTo>
                  <a:pt x="88747" y="207086"/>
                </a:lnTo>
                <a:lnTo>
                  <a:pt x="59169" y="207086"/>
                </a:lnTo>
                <a:lnTo>
                  <a:pt x="59169" y="266255"/>
                </a:lnTo>
                <a:lnTo>
                  <a:pt x="59169" y="295846"/>
                </a:lnTo>
                <a:lnTo>
                  <a:pt x="29578" y="295846"/>
                </a:lnTo>
                <a:lnTo>
                  <a:pt x="29578" y="266255"/>
                </a:lnTo>
                <a:lnTo>
                  <a:pt x="29578" y="236677"/>
                </a:lnTo>
                <a:lnTo>
                  <a:pt x="0" y="236677"/>
                </a:lnTo>
                <a:lnTo>
                  <a:pt x="0" y="266255"/>
                </a:lnTo>
                <a:lnTo>
                  <a:pt x="0" y="325424"/>
                </a:lnTo>
                <a:lnTo>
                  <a:pt x="29578" y="325424"/>
                </a:lnTo>
                <a:lnTo>
                  <a:pt x="29578" y="355015"/>
                </a:lnTo>
                <a:lnTo>
                  <a:pt x="59169" y="355015"/>
                </a:lnTo>
                <a:lnTo>
                  <a:pt x="59169" y="325424"/>
                </a:lnTo>
                <a:lnTo>
                  <a:pt x="88747" y="325424"/>
                </a:lnTo>
                <a:lnTo>
                  <a:pt x="88747" y="266255"/>
                </a:lnTo>
                <a:lnTo>
                  <a:pt x="118338" y="266255"/>
                </a:lnTo>
                <a:lnTo>
                  <a:pt x="118338" y="384594"/>
                </a:lnTo>
                <a:lnTo>
                  <a:pt x="88747" y="384594"/>
                </a:lnTo>
                <a:lnTo>
                  <a:pt x="88747" y="355015"/>
                </a:lnTo>
                <a:lnTo>
                  <a:pt x="59169" y="355015"/>
                </a:lnTo>
                <a:lnTo>
                  <a:pt x="59169" y="414172"/>
                </a:lnTo>
                <a:lnTo>
                  <a:pt x="88747" y="414172"/>
                </a:lnTo>
                <a:lnTo>
                  <a:pt x="118338" y="414172"/>
                </a:lnTo>
                <a:lnTo>
                  <a:pt x="147916" y="414172"/>
                </a:lnTo>
                <a:lnTo>
                  <a:pt x="147916" y="384594"/>
                </a:lnTo>
                <a:lnTo>
                  <a:pt x="177507" y="384594"/>
                </a:lnTo>
                <a:lnTo>
                  <a:pt x="207086" y="384594"/>
                </a:lnTo>
                <a:lnTo>
                  <a:pt x="207086" y="355015"/>
                </a:lnTo>
                <a:lnTo>
                  <a:pt x="177507" y="355015"/>
                </a:lnTo>
                <a:lnTo>
                  <a:pt x="147916" y="355015"/>
                </a:lnTo>
                <a:lnTo>
                  <a:pt x="147916" y="266255"/>
                </a:lnTo>
                <a:lnTo>
                  <a:pt x="177507" y="266255"/>
                </a:lnTo>
                <a:lnTo>
                  <a:pt x="207086" y="266255"/>
                </a:lnTo>
                <a:lnTo>
                  <a:pt x="207086" y="236677"/>
                </a:lnTo>
                <a:close/>
              </a:path>
              <a:path w="976629" h="414654">
                <a:moveTo>
                  <a:pt x="207086" y="177507"/>
                </a:moveTo>
                <a:lnTo>
                  <a:pt x="177507" y="177507"/>
                </a:lnTo>
                <a:lnTo>
                  <a:pt x="177507" y="207086"/>
                </a:lnTo>
                <a:lnTo>
                  <a:pt x="207086" y="207086"/>
                </a:lnTo>
                <a:lnTo>
                  <a:pt x="207086" y="177507"/>
                </a:lnTo>
                <a:close/>
              </a:path>
              <a:path w="976629" h="414654">
                <a:moveTo>
                  <a:pt x="207086" y="118338"/>
                </a:moveTo>
                <a:lnTo>
                  <a:pt x="177507" y="118338"/>
                </a:lnTo>
                <a:lnTo>
                  <a:pt x="177507" y="147916"/>
                </a:lnTo>
                <a:lnTo>
                  <a:pt x="207086" y="147916"/>
                </a:lnTo>
                <a:lnTo>
                  <a:pt x="207086" y="118338"/>
                </a:lnTo>
                <a:close/>
              </a:path>
              <a:path w="976629" h="414654">
                <a:moveTo>
                  <a:pt x="443763" y="147916"/>
                </a:moveTo>
                <a:lnTo>
                  <a:pt x="414172" y="147916"/>
                </a:lnTo>
                <a:lnTo>
                  <a:pt x="414172" y="177507"/>
                </a:lnTo>
                <a:lnTo>
                  <a:pt x="443763" y="177507"/>
                </a:lnTo>
                <a:lnTo>
                  <a:pt x="443763" y="147916"/>
                </a:lnTo>
                <a:close/>
              </a:path>
              <a:path w="976629" h="414654">
                <a:moveTo>
                  <a:pt x="473341" y="29591"/>
                </a:moveTo>
                <a:lnTo>
                  <a:pt x="443763" y="29591"/>
                </a:lnTo>
                <a:lnTo>
                  <a:pt x="414172" y="29591"/>
                </a:lnTo>
                <a:lnTo>
                  <a:pt x="384594" y="29591"/>
                </a:lnTo>
                <a:lnTo>
                  <a:pt x="384594" y="0"/>
                </a:lnTo>
                <a:lnTo>
                  <a:pt x="355003" y="0"/>
                </a:lnTo>
                <a:lnTo>
                  <a:pt x="355003" y="118338"/>
                </a:lnTo>
                <a:lnTo>
                  <a:pt x="384594" y="118338"/>
                </a:lnTo>
                <a:lnTo>
                  <a:pt x="384594" y="59169"/>
                </a:lnTo>
                <a:lnTo>
                  <a:pt x="414172" y="59169"/>
                </a:lnTo>
                <a:lnTo>
                  <a:pt x="414172" y="118338"/>
                </a:lnTo>
                <a:lnTo>
                  <a:pt x="443763" y="118338"/>
                </a:lnTo>
                <a:lnTo>
                  <a:pt x="443763" y="59169"/>
                </a:lnTo>
                <a:lnTo>
                  <a:pt x="473341" y="59169"/>
                </a:lnTo>
                <a:lnTo>
                  <a:pt x="473341" y="29591"/>
                </a:lnTo>
                <a:close/>
              </a:path>
              <a:path w="976629" h="414654">
                <a:moveTo>
                  <a:pt x="502920" y="118338"/>
                </a:moveTo>
                <a:lnTo>
                  <a:pt x="473341" y="118338"/>
                </a:lnTo>
                <a:lnTo>
                  <a:pt x="443763" y="118338"/>
                </a:lnTo>
                <a:lnTo>
                  <a:pt x="443763" y="147916"/>
                </a:lnTo>
                <a:lnTo>
                  <a:pt x="473341" y="147916"/>
                </a:lnTo>
                <a:lnTo>
                  <a:pt x="502920" y="147916"/>
                </a:lnTo>
                <a:lnTo>
                  <a:pt x="502920" y="118338"/>
                </a:lnTo>
                <a:close/>
              </a:path>
              <a:path w="976629" h="414654">
                <a:moveTo>
                  <a:pt x="502920" y="59169"/>
                </a:moveTo>
                <a:lnTo>
                  <a:pt x="473341" y="59169"/>
                </a:lnTo>
                <a:lnTo>
                  <a:pt x="473341" y="88760"/>
                </a:lnTo>
                <a:lnTo>
                  <a:pt x="502920" y="88760"/>
                </a:lnTo>
                <a:lnTo>
                  <a:pt x="502920" y="59169"/>
                </a:lnTo>
                <a:close/>
              </a:path>
              <a:path w="976629" h="414654">
                <a:moveTo>
                  <a:pt x="532511" y="207086"/>
                </a:moveTo>
                <a:lnTo>
                  <a:pt x="502920" y="207086"/>
                </a:lnTo>
                <a:lnTo>
                  <a:pt x="502920" y="177507"/>
                </a:lnTo>
                <a:lnTo>
                  <a:pt x="473341" y="177507"/>
                </a:lnTo>
                <a:lnTo>
                  <a:pt x="473341" y="266255"/>
                </a:lnTo>
                <a:lnTo>
                  <a:pt x="502920" y="266255"/>
                </a:lnTo>
                <a:lnTo>
                  <a:pt x="532511" y="266255"/>
                </a:lnTo>
                <a:lnTo>
                  <a:pt x="532511" y="207086"/>
                </a:lnTo>
                <a:close/>
              </a:path>
              <a:path w="976629" h="414654">
                <a:moveTo>
                  <a:pt x="621258" y="59169"/>
                </a:moveTo>
                <a:lnTo>
                  <a:pt x="591680" y="59169"/>
                </a:lnTo>
                <a:lnTo>
                  <a:pt x="591680" y="88760"/>
                </a:lnTo>
                <a:lnTo>
                  <a:pt x="562089" y="88760"/>
                </a:lnTo>
                <a:lnTo>
                  <a:pt x="562089" y="59169"/>
                </a:lnTo>
                <a:lnTo>
                  <a:pt x="591680" y="59169"/>
                </a:lnTo>
                <a:lnTo>
                  <a:pt x="591680" y="0"/>
                </a:lnTo>
                <a:lnTo>
                  <a:pt x="562089" y="0"/>
                </a:lnTo>
                <a:lnTo>
                  <a:pt x="562089" y="29591"/>
                </a:lnTo>
                <a:lnTo>
                  <a:pt x="532511" y="29591"/>
                </a:lnTo>
                <a:lnTo>
                  <a:pt x="502920" y="29591"/>
                </a:lnTo>
                <a:lnTo>
                  <a:pt x="502920" y="59169"/>
                </a:lnTo>
                <a:lnTo>
                  <a:pt x="532511" y="59169"/>
                </a:lnTo>
                <a:lnTo>
                  <a:pt x="532511" y="118338"/>
                </a:lnTo>
                <a:lnTo>
                  <a:pt x="562089" y="118338"/>
                </a:lnTo>
                <a:lnTo>
                  <a:pt x="591680" y="118338"/>
                </a:lnTo>
                <a:lnTo>
                  <a:pt x="591680" y="147916"/>
                </a:lnTo>
                <a:lnTo>
                  <a:pt x="562089" y="147916"/>
                </a:lnTo>
                <a:lnTo>
                  <a:pt x="532511" y="147916"/>
                </a:lnTo>
                <a:lnTo>
                  <a:pt x="502920" y="147916"/>
                </a:lnTo>
                <a:lnTo>
                  <a:pt x="502920" y="177507"/>
                </a:lnTo>
                <a:lnTo>
                  <a:pt x="532511" y="177507"/>
                </a:lnTo>
                <a:lnTo>
                  <a:pt x="562089" y="177507"/>
                </a:lnTo>
                <a:lnTo>
                  <a:pt x="562089" y="236677"/>
                </a:lnTo>
                <a:lnTo>
                  <a:pt x="591680" y="236677"/>
                </a:lnTo>
                <a:lnTo>
                  <a:pt x="621258" y="236677"/>
                </a:lnTo>
                <a:lnTo>
                  <a:pt x="621258" y="207086"/>
                </a:lnTo>
                <a:lnTo>
                  <a:pt x="591680" y="207086"/>
                </a:lnTo>
                <a:lnTo>
                  <a:pt x="591680" y="177507"/>
                </a:lnTo>
                <a:lnTo>
                  <a:pt x="621258" y="177507"/>
                </a:lnTo>
                <a:lnTo>
                  <a:pt x="621258" y="59169"/>
                </a:lnTo>
                <a:close/>
              </a:path>
              <a:path w="976629" h="414654">
                <a:moveTo>
                  <a:pt x="650849" y="207086"/>
                </a:moveTo>
                <a:lnTo>
                  <a:pt x="621271" y="207086"/>
                </a:lnTo>
                <a:lnTo>
                  <a:pt x="621271" y="266255"/>
                </a:lnTo>
                <a:lnTo>
                  <a:pt x="650849" y="266255"/>
                </a:lnTo>
                <a:lnTo>
                  <a:pt x="650849" y="207086"/>
                </a:lnTo>
                <a:close/>
              </a:path>
              <a:path w="976629" h="414654">
                <a:moveTo>
                  <a:pt x="650849" y="147916"/>
                </a:moveTo>
                <a:lnTo>
                  <a:pt x="621271" y="147916"/>
                </a:lnTo>
                <a:lnTo>
                  <a:pt x="621271" y="177507"/>
                </a:lnTo>
                <a:lnTo>
                  <a:pt x="650849" y="177507"/>
                </a:lnTo>
                <a:lnTo>
                  <a:pt x="650849" y="147916"/>
                </a:lnTo>
                <a:close/>
              </a:path>
              <a:path w="976629" h="414654">
                <a:moveTo>
                  <a:pt x="650849" y="0"/>
                </a:moveTo>
                <a:lnTo>
                  <a:pt x="621271" y="0"/>
                </a:lnTo>
                <a:lnTo>
                  <a:pt x="621271" y="29591"/>
                </a:lnTo>
                <a:lnTo>
                  <a:pt x="650849" y="29591"/>
                </a:lnTo>
                <a:lnTo>
                  <a:pt x="650849" y="0"/>
                </a:lnTo>
                <a:close/>
              </a:path>
              <a:path w="976629" h="414654">
                <a:moveTo>
                  <a:pt x="710018" y="236677"/>
                </a:moveTo>
                <a:lnTo>
                  <a:pt x="680427" y="236677"/>
                </a:lnTo>
                <a:lnTo>
                  <a:pt x="680427" y="266255"/>
                </a:lnTo>
                <a:lnTo>
                  <a:pt x="710018" y="266255"/>
                </a:lnTo>
                <a:lnTo>
                  <a:pt x="710018" y="236677"/>
                </a:lnTo>
                <a:close/>
              </a:path>
              <a:path w="976629" h="414654">
                <a:moveTo>
                  <a:pt x="710018" y="147916"/>
                </a:moveTo>
                <a:lnTo>
                  <a:pt x="680427" y="147916"/>
                </a:lnTo>
                <a:lnTo>
                  <a:pt x="680427" y="207086"/>
                </a:lnTo>
                <a:lnTo>
                  <a:pt x="710018" y="207086"/>
                </a:lnTo>
                <a:lnTo>
                  <a:pt x="710018" y="147916"/>
                </a:lnTo>
                <a:close/>
              </a:path>
              <a:path w="976629" h="414654">
                <a:moveTo>
                  <a:pt x="710018" y="0"/>
                </a:moveTo>
                <a:lnTo>
                  <a:pt x="680427" y="0"/>
                </a:lnTo>
                <a:lnTo>
                  <a:pt x="680427" y="29591"/>
                </a:lnTo>
                <a:lnTo>
                  <a:pt x="650849" y="29591"/>
                </a:lnTo>
                <a:lnTo>
                  <a:pt x="650849" y="88760"/>
                </a:lnTo>
                <a:lnTo>
                  <a:pt x="680427" y="88760"/>
                </a:lnTo>
                <a:lnTo>
                  <a:pt x="680427" y="59169"/>
                </a:lnTo>
                <a:lnTo>
                  <a:pt x="710018" y="59169"/>
                </a:lnTo>
                <a:lnTo>
                  <a:pt x="710018" y="0"/>
                </a:lnTo>
                <a:close/>
              </a:path>
              <a:path w="976629" h="414654">
                <a:moveTo>
                  <a:pt x="739597" y="207086"/>
                </a:moveTo>
                <a:lnTo>
                  <a:pt x="710018" y="207086"/>
                </a:lnTo>
                <a:lnTo>
                  <a:pt x="710018" y="236677"/>
                </a:lnTo>
                <a:lnTo>
                  <a:pt x="739597" y="236677"/>
                </a:lnTo>
                <a:lnTo>
                  <a:pt x="739597" y="207086"/>
                </a:lnTo>
                <a:close/>
              </a:path>
              <a:path w="976629" h="414654">
                <a:moveTo>
                  <a:pt x="739597" y="59169"/>
                </a:moveTo>
                <a:lnTo>
                  <a:pt x="710018" y="59169"/>
                </a:lnTo>
                <a:lnTo>
                  <a:pt x="710018" y="88760"/>
                </a:lnTo>
                <a:lnTo>
                  <a:pt x="680427" y="88760"/>
                </a:lnTo>
                <a:lnTo>
                  <a:pt x="680427" y="118338"/>
                </a:lnTo>
                <a:lnTo>
                  <a:pt x="710018" y="118338"/>
                </a:lnTo>
                <a:lnTo>
                  <a:pt x="710018" y="147916"/>
                </a:lnTo>
                <a:lnTo>
                  <a:pt x="739597" y="147916"/>
                </a:lnTo>
                <a:lnTo>
                  <a:pt x="739597" y="59169"/>
                </a:lnTo>
                <a:close/>
              </a:path>
              <a:path w="976629" h="414654">
                <a:moveTo>
                  <a:pt x="887514" y="118338"/>
                </a:moveTo>
                <a:lnTo>
                  <a:pt x="857935" y="118338"/>
                </a:lnTo>
                <a:lnTo>
                  <a:pt x="857935" y="207086"/>
                </a:lnTo>
                <a:lnTo>
                  <a:pt x="828357" y="207086"/>
                </a:lnTo>
                <a:lnTo>
                  <a:pt x="798766" y="207086"/>
                </a:lnTo>
                <a:lnTo>
                  <a:pt x="798766" y="147916"/>
                </a:lnTo>
                <a:lnTo>
                  <a:pt x="828357" y="147916"/>
                </a:lnTo>
                <a:lnTo>
                  <a:pt x="828357" y="118338"/>
                </a:lnTo>
                <a:lnTo>
                  <a:pt x="798766" y="118338"/>
                </a:lnTo>
                <a:lnTo>
                  <a:pt x="769188" y="118338"/>
                </a:lnTo>
                <a:lnTo>
                  <a:pt x="769188" y="177507"/>
                </a:lnTo>
                <a:lnTo>
                  <a:pt x="739597" y="177507"/>
                </a:lnTo>
                <a:lnTo>
                  <a:pt x="739597" y="207086"/>
                </a:lnTo>
                <a:lnTo>
                  <a:pt x="769188" y="207086"/>
                </a:lnTo>
                <a:lnTo>
                  <a:pt x="769188" y="266255"/>
                </a:lnTo>
                <a:lnTo>
                  <a:pt x="798766" y="266255"/>
                </a:lnTo>
                <a:lnTo>
                  <a:pt x="828357" y="266255"/>
                </a:lnTo>
                <a:lnTo>
                  <a:pt x="828357" y="236677"/>
                </a:lnTo>
                <a:lnTo>
                  <a:pt x="857935" y="236677"/>
                </a:lnTo>
                <a:lnTo>
                  <a:pt x="887514" y="236677"/>
                </a:lnTo>
                <a:lnTo>
                  <a:pt x="887514" y="118338"/>
                </a:lnTo>
                <a:close/>
              </a:path>
              <a:path w="976629" h="414654">
                <a:moveTo>
                  <a:pt x="887514" y="59169"/>
                </a:moveTo>
                <a:lnTo>
                  <a:pt x="857935" y="59169"/>
                </a:lnTo>
                <a:lnTo>
                  <a:pt x="828357" y="59169"/>
                </a:lnTo>
                <a:lnTo>
                  <a:pt x="798766" y="59169"/>
                </a:lnTo>
                <a:lnTo>
                  <a:pt x="798766" y="0"/>
                </a:lnTo>
                <a:lnTo>
                  <a:pt x="769188" y="0"/>
                </a:lnTo>
                <a:lnTo>
                  <a:pt x="769188" y="88760"/>
                </a:lnTo>
                <a:lnTo>
                  <a:pt x="798766" y="88760"/>
                </a:lnTo>
                <a:lnTo>
                  <a:pt x="828357" y="88760"/>
                </a:lnTo>
                <a:lnTo>
                  <a:pt x="857935" y="88760"/>
                </a:lnTo>
                <a:lnTo>
                  <a:pt x="887514" y="88760"/>
                </a:lnTo>
                <a:lnTo>
                  <a:pt x="887514" y="59169"/>
                </a:lnTo>
                <a:close/>
              </a:path>
              <a:path w="976629" h="414654">
                <a:moveTo>
                  <a:pt x="887514" y="0"/>
                </a:moveTo>
                <a:lnTo>
                  <a:pt x="857935" y="0"/>
                </a:lnTo>
                <a:lnTo>
                  <a:pt x="828357" y="0"/>
                </a:lnTo>
                <a:lnTo>
                  <a:pt x="828357" y="29591"/>
                </a:lnTo>
                <a:lnTo>
                  <a:pt x="857935" y="29591"/>
                </a:lnTo>
                <a:lnTo>
                  <a:pt x="887514" y="29591"/>
                </a:lnTo>
                <a:lnTo>
                  <a:pt x="887514" y="0"/>
                </a:lnTo>
                <a:close/>
              </a:path>
              <a:path w="976629" h="414654">
                <a:moveTo>
                  <a:pt x="917105" y="177507"/>
                </a:moveTo>
                <a:lnTo>
                  <a:pt x="887526" y="177507"/>
                </a:lnTo>
                <a:lnTo>
                  <a:pt x="887526" y="207086"/>
                </a:lnTo>
                <a:lnTo>
                  <a:pt x="917105" y="207086"/>
                </a:lnTo>
                <a:lnTo>
                  <a:pt x="917105" y="177507"/>
                </a:lnTo>
                <a:close/>
              </a:path>
              <a:path w="976629" h="414654">
                <a:moveTo>
                  <a:pt x="917105" y="0"/>
                </a:moveTo>
                <a:lnTo>
                  <a:pt x="887526" y="0"/>
                </a:lnTo>
                <a:lnTo>
                  <a:pt x="887526" y="29591"/>
                </a:lnTo>
                <a:lnTo>
                  <a:pt x="917105" y="29591"/>
                </a:lnTo>
                <a:lnTo>
                  <a:pt x="917105" y="0"/>
                </a:lnTo>
                <a:close/>
              </a:path>
              <a:path w="976629" h="414654">
                <a:moveTo>
                  <a:pt x="976274" y="236677"/>
                </a:moveTo>
                <a:lnTo>
                  <a:pt x="946683" y="236677"/>
                </a:lnTo>
                <a:lnTo>
                  <a:pt x="917105" y="236677"/>
                </a:lnTo>
                <a:lnTo>
                  <a:pt x="917105" y="266255"/>
                </a:lnTo>
                <a:lnTo>
                  <a:pt x="946683" y="266255"/>
                </a:lnTo>
                <a:lnTo>
                  <a:pt x="976274" y="266255"/>
                </a:lnTo>
                <a:lnTo>
                  <a:pt x="976274" y="236677"/>
                </a:lnTo>
                <a:close/>
              </a:path>
              <a:path w="976629" h="414654">
                <a:moveTo>
                  <a:pt x="976274" y="147916"/>
                </a:moveTo>
                <a:lnTo>
                  <a:pt x="946683" y="147916"/>
                </a:lnTo>
                <a:lnTo>
                  <a:pt x="917105" y="147916"/>
                </a:lnTo>
                <a:lnTo>
                  <a:pt x="917105" y="177507"/>
                </a:lnTo>
                <a:lnTo>
                  <a:pt x="946683" y="177507"/>
                </a:lnTo>
                <a:lnTo>
                  <a:pt x="946683" y="207086"/>
                </a:lnTo>
                <a:lnTo>
                  <a:pt x="976274" y="207086"/>
                </a:lnTo>
                <a:lnTo>
                  <a:pt x="976274" y="147916"/>
                </a:lnTo>
                <a:close/>
              </a:path>
              <a:path w="976629" h="414654">
                <a:moveTo>
                  <a:pt x="976274" y="0"/>
                </a:moveTo>
                <a:lnTo>
                  <a:pt x="946683" y="0"/>
                </a:lnTo>
                <a:lnTo>
                  <a:pt x="946683" y="59169"/>
                </a:lnTo>
                <a:lnTo>
                  <a:pt x="917105" y="59169"/>
                </a:lnTo>
                <a:lnTo>
                  <a:pt x="887526" y="59169"/>
                </a:lnTo>
                <a:lnTo>
                  <a:pt x="887526" y="88760"/>
                </a:lnTo>
                <a:lnTo>
                  <a:pt x="917105" y="88760"/>
                </a:lnTo>
                <a:lnTo>
                  <a:pt x="946683" y="88760"/>
                </a:lnTo>
                <a:lnTo>
                  <a:pt x="976274" y="88760"/>
                </a:lnTo>
                <a:lnTo>
                  <a:pt x="976274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1" name="object 858">
            <a:extLst>
              <a:ext uri="{FF2B5EF4-FFF2-40B4-BE49-F238E27FC236}">
                <a16:creationId xmlns:a16="http://schemas.microsoft.com/office/drawing/2014/main" id="{CCDFA623-D0B1-4A2B-A48C-7E0E2C73D608}"/>
              </a:ext>
            </a:extLst>
          </xdr:cNvPr>
          <xdr:cNvSpPr/>
        </xdr:nvSpPr>
        <xdr:spPr>
          <a:xfrm>
            <a:off x="9294775" y="3431077"/>
            <a:ext cx="976630" cy="414655"/>
          </a:xfrm>
          <a:custGeom>
            <a:avLst/>
            <a:gdLst/>
            <a:ahLst/>
            <a:cxnLst/>
            <a:rect l="l" t="t" r="r" b="b"/>
            <a:pathLst>
              <a:path w="976629" h="414654">
                <a:moveTo>
                  <a:pt x="59169" y="325424"/>
                </a:moveTo>
                <a:lnTo>
                  <a:pt x="29578" y="325424"/>
                </a:lnTo>
                <a:lnTo>
                  <a:pt x="0" y="325424"/>
                </a:lnTo>
                <a:lnTo>
                  <a:pt x="0" y="355015"/>
                </a:lnTo>
                <a:lnTo>
                  <a:pt x="29578" y="355015"/>
                </a:lnTo>
                <a:lnTo>
                  <a:pt x="59169" y="355015"/>
                </a:lnTo>
                <a:lnTo>
                  <a:pt x="59169" y="325424"/>
                </a:lnTo>
                <a:close/>
              </a:path>
              <a:path w="976629" h="414654">
                <a:moveTo>
                  <a:pt x="59169" y="266255"/>
                </a:moveTo>
                <a:lnTo>
                  <a:pt x="29578" y="266255"/>
                </a:lnTo>
                <a:lnTo>
                  <a:pt x="0" y="266255"/>
                </a:lnTo>
                <a:lnTo>
                  <a:pt x="0" y="295846"/>
                </a:lnTo>
                <a:lnTo>
                  <a:pt x="29578" y="295846"/>
                </a:lnTo>
                <a:lnTo>
                  <a:pt x="59169" y="295846"/>
                </a:lnTo>
                <a:lnTo>
                  <a:pt x="59169" y="266255"/>
                </a:lnTo>
                <a:close/>
              </a:path>
              <a:path w="976629" h="414654">
                <a:moveTo>
                  <a:pt x="118338" y="147929"/>
                </a:moveTo>
                <a:lnTo>
                  <a:pt x="88747" y="147929"/>
                </a:lnTo>
                <a:lnTo>
                  <a:pt x="59169" y="147929"/>
                </a:lnTo>
                <a:lnTo>
                  <a:pt x="29578" y="147929"/>
                </a:lnTo>
                <a:lnTo>
                  <a:pt x="29578" y="236677"/>
                </a:lnTo>
                <a:lnTo>
                  <a:pt x="59169" y="236677"/>
                </a:lnTo>
                <a:lnTo>
                  <a:pt x="88747" y="236677"/>
                </a:lnTo>
                <a:lnTo>
                  <a:pt x="88747" y="177507"/>
                </a:lnTo>
                <a:lnTo>
                  <a:pt x="118338" y="177507"/>
                </a:lnTo>
                <a:lnTo>
                  <a:pt x="118338" y="147929"/>
                </a:lnTo>
                <a:close/>
              </a:path>
              <a:path w="976629" h="414654">
                <a:moveTo>
                  <a:pt x="118338" y="29591"/>
                </a:moveTo>
                <a:lnTo>
                  <a:pt x="88747" y="29591"/>
                </a:lnTo>
                <a:lnTo>
                  <a:pt x="88747" y="0"/>
                </a:lnTo>
                <a:lnTo>
                  <a:pt x="59169" y="0"/>
                </a:lnTo>
                <a:lnTo>
                  <a:pt x="59169" y="59169"/>
                </a:lnTo>
                <a:lnTo>
                  <a:pt x="88747" y="59169"/>
                </a:lnTo>
                <a:lnTo>
                  <a:pt x="118338" y="59169"/>
                </a:lnTo>
                <a:lnTo>
                  <a:pt x="118338" y="29591"/>
                </a:lnTo>
                <a:close/>
              </a:path>
              <a:path w="976629" h="414654">
                <a:moveTo>
                  <a:pt x="147916" y="266255"/>
                </a:moveTo>
                <a:lnTo>
                  <a:pt x="118338" y="266255"/>
                </a:lnTo>
                <a:lnTo>
                  <a:pt x="118338" y="236677"/>
                </a:lnTo>
                <a:lnTo>
                  <a:pt x="88747" y="236677"/>
                </a:lnTo>
                <a:lnTo>
                  <a:pt x="88747" y="295846"/>
                </a:lnTo>
                <a:lnTo>
                  <a:pt x="59169" y="295846"/>
                </a:lnTo>
                <a:lnTo>
                  <a:pt x="59169" y="325424"/>
                </a:lnTo>
                <a:lnTo>
                  <a:pt x="88747" y="325424"/>
                </a:lnTo>
                <a:lnTo>
                  <a:pt x="88747" y="355015"/>
                </a:lnTo>
                <a:lnTo>
                  <a:pt x="118338" y="355015"/>
                </a:lnTo>
                <a:lnTo>
                  <a:pt x="118338" y="325424"/>
                </a:lnTo>
                <a:lnTo>
                  <a:pt x="147916" y="325424"/>
                </a:lnTo>
                <a:lnTo>
                  <a:pt x="147916" y="266255"/>
                </a:lnTo>
                <a:close/>
              </a:path>
              <a:path w="976629" h="414654">
                <a:moveTo>
                  <a:pt x="147916" y="207086"/>
                </a:moveTo>
                <a:lnTo>
                  <a:pt x="118338" y="207086"/>
                </a:lnTo>
                <a:lnTo>
                  <a:pt x="118338" y="236677"/>
                </a:lnTo>
                <a:lnTo>
                  <a:pt x="147916" y="236677"/>
                </a:lnTo>
                <a:lnTo>
                  <a:pt x="147916" y="207086"/>
                </a:lnTo>
                <a:close/>
              </a:path>
              <a:path w="976629" h="414654">
                <a:moveTo>
                  <a:pt x="177507" y="177507"/>
                </a:moveTo>
                <a:lnTo>
                  <a:pt x="147916" y="177507"/>
                </a:lnTo>
                <a:lnTo>
                  <a:pt x="147916" y="207086"/>
                </a:lnTo>
                <a:lnTo>
                  <a:pt x="177507" y="207086"/>
                </a:lnTo>
                <a:lnTo>
                  <a:pt x="177507" y="177507"/>
                </a:lnTo>
                <a:close/>
              </a:path>
              <a:path w="976629" h="414654">
                <a:moveTo>
                  <a:pt x="177507" y="0"/>
                </a:moveTo>
                <a:lnTo>
                  <a:pt x="147916" y="0"/>
                </a:lnTo>
                <a:lnTo>
                  <a:pt x="147916" y="29591"/>
                </a:lnTo>
                <a:lnTo>
                  <a:pt x="177507" y="29591"/>
                </a:lnTo>
                <a:lnTo>
                  <a:pt x="177507" y="0"/>
                </a:lnTo>
                <a:close/>
              </a:path>
              <a:path w="976629" h="414654">
                <a:moveTo>
                  <a:pt x="207086" y="325424"/>
                </a:moveTo>
                <a:lnTo>
                  <a:pt x="177507" y="325424"/>
                </a:lnTo>
                <a:lnTo>
                  <a:pt x="147916" y="325424"/>
                </a:lnTo>
                <a:lnTo>
                  <a:pt x="147916" y="355015"/>
                </a:lnTo>
                <a:lnTo>
                  <a:pt x="177507" y="355015"/>
                </a:lnTo>
                <a:lnTo>
                  <a:pt x="207086" y="355015"/>
                </a:lnTo>
                <a:lnTo>
                  <a:pt x="207086" y="325424"/>
                </a:lnTo>
                <a:close/>
              </a:path>
              <a:path w="976629" h="414654">
                <a:moveTo>
                  <a:pt x="207086" y="266255"/>
                </a:moveTo>
                <a:lnTo>
                  <a:pt x="177507" y="266255"/>
                </a:lnTo>
                <a:lnTo>
                  <a:pt x="177507" y="295846"/>
                </a:lnTo>
                <a:lnTo>
                  <a:pt x="207086" y="295846"/>
                </a:lnTo>
                <a:lnTo>
                  <a:pt x="207086" y="266255"/>
                </a:lnTo>
                <a:close/>
              </a:path>
              <a:path w="976629" h="414654">
                <a:moveTo>
                  <a:pt x="207086" y="207086"/>
                </a:moveTo>
                <a:lnTo>
                  <a:pt x="177507" y="207086"/>
                </a:lnTo>
                <a:lnTo>
                  <a:pt x="177507" y="236677"/>
                </a:lnTo>
                <a:lnTo>
                  <a:pt x="207086" y="236677"/>
                </a:lnTo>
                <a:lnTo>
                  <a:pt x="207086" y="207086"/>
                </a:lnTo>
                <a:close/>
              </a:path>
              <a:path w="976629" h="414654">
                <a:moveTo>
                  <a:pt x="207086" y="147929"/>
                </a:moveTo>
                <a:lnTo>
                  <a:pt x="177507" y="147929"/>
                </a:lnTo>
                <a:lnTo>
                  <a:pt x="177507" y="177507"/>
                </a:lnTo>
                <a:lnTo>
                  <a:pt x="207086" y="177507"/>
                </a:lnTo>
                <a:lnTo>
                  <a:pt x="207086" y="147929"/>
                </a:lnTo>
                <a:close/>
              </a:path>
              <a:path w="976629" h="414654">
                <a:moveTo>
                  <a:pt x="207086" y="29591"/>
                </a:moveTo>
                <a:lnTo>
                  <a:pt x="177507" y="29591"/>
                </a:lnTo>
                <a:lnTo>
                  <a:pt x="177507" y="59169"/>
                </a:lnTo>
                <a:lnTo>
                  <a:pt x="207086" y="59169"/>
                </a:lnTo>
                <a:lnTo>
                  <a:pt x="207086" y="29591"/>
                </a:lnTo>
                <a:close/>
              </a:path>
              <a:path w="976629" h="414654">
                <a:moveTo>
                  <a:pt x="236664" y="118338"/>
                </a:moveTo>
                <a:lnTo>
                  <a:pt x="207086" y="118338"/>
                </a:lnTo>
                <a:lnTo>
                  <a:pt x="207086" y="147916"/>
                </a:lnTo>
                <a:lnTo>
                  <a:pt x="236664" y="147916"/>
                </a:lnTo>
                <a:lnTo>
                  <a:pt x="236664" y="118338"/>
                </a:lnTo>
                <a:close/>
              </a:path>
              <a:path w="976629" h="414654">
                <a:moveTo>
                  <a:pt x="236664" y="59169"/>
                </a:moveTo>
                <a:lnTo>
                  <a:pt x="207086" y="59169"/>
                </a:lnTo>
                <a:lnTo>
                  <a:pt x="207086" y="88760"/>
                </a:lnTo>
                <a:lnTo>
                  <a:pt x="236664" y="88760"/>
                </a:lnTo>
                <a:lnTo>
                  <a:pt x="236664" y="59169"/>
                </a:lnTo>
                <a:close/>
              </a:path>
              <a:path w="976629" h="414654">
                <a:moveTo>
                  <a:pt x="236664" y="0"/>
                </a:moveTo>
                <a:lnTo>
                  <a:pt x="207086" y="0"/>
                </a:lnTo>
                <a:lnTo>
                  <a:pt x="207086" y="29591"/>
                </a:lnTo>
                <a:lnTo>
                  <a:pt x="236664" y="29591"/>
                </a:lnTo>
                <a:lnTo>
                  <a:pt x="236664" y="0"/>
                </a:lnTo>
                <a:close/>
              </a:path>
              <a:path w="976629" h="414654">
                <a:moveTo>
                  <a:pt x="266255" y="295846"/>
                </a:moveTo>
                <a:lnTo>
                  <a:pt x="236664" y="295846"/>
                </a:lnTo>
                <a:lnTo>
                  <a:pt x="207086" y="295846"/>
                </a:lnTo>
                <a:lnTo>
                  <a:pt x="207086" y="325424"/>
                </a:lnTo>
                <a:lnTo>
                  <a:pt x="236664" y="325424"/>
                </a:lnTo>
                <a:lnTo>
                  <a:pt x="266255" y="325424"/>
                </a:lnTo>
                <a:lnTo>
                  <a:pt x="266255" y="295846"/>
                </a:lnTo>
                <a:close/>
              </a:path>
              <a:path w="976629" h="414654">
                <a:moveTo>
                  <a:pt x="295833" y="118338"/>
                </a:moveTo>
                <a:lnTo>
                  <a:pt x="266255" y="118338"/>
                </a:lnTo>
                <a:lnTo>
                  <a:pt x="266255" y="147916"/>
                </a:lnTo>
                <a:lnTo>
                  <a:pt x="295833" y="147916"/>
                </a:lnTo>
                <a:lnTo>
                  <a:pt x="295833" y="118338"/>
                </a:lnTo>
                <a:close/>
              </a:path>
              <a:path w="976629" h="414654">
                <a:moveTo>
                  <a:pt x="355003" y="88760"/>
                </a:moveTo>
                <a:lnTo>
                  <a:pt x="325424" y="88760"/>
                </a:lnTo>
                <a:lnTo>
                  <a:pt x="295833" y="88760"/>
                </a:lnTo>
                <a:lnTo>
                  <a:pt x="295833" y="118338"/>
                </a:lnTo>
                <a:lnTo>
                  <a:pt x="325424" y="118338"/>
                </a:lnTo>
                <a:lnTo>
                  <a:pt x="355003" y="118338"/>
                </a:lnTo>
                <a:lnTo>
                  <a:pt x="355003" y="88760"/>
                </a:lnTo>
                <a:close/>
              </a:path>
              <a:path w="976629" h="414654">
                <a:moveTo>
                  <a:pt x="355003" y="29591"/>
                </a:moveTo>
                <a:lnTo>
                  <a:pt x="325424" y="29591"/>
                </a:lnTo>
                <a:lnTo>
                  <a:pt x="325424" y="0"/>
                </a:lnTo>
                <a:lnTo>
                  <a:pt x="295833" y="0"/>
                </a:lnTo>
                <a:lnTo>
                  <a:pt x="266255" y="0"/>
                </a:lnTo>
                <a:lnTo>
                  <a:pt x="266255" y="88760"/>
                </a:lnTo>
                <a:lnTo>
                  <a:pt x="295833" y="88760"/>
                </a:lnTo>
                <a:lnTo>
                  <a:pt x="295833" y="59169"/>
                </a:lnTo>
                <a:lnTo>
                  <a:pt x="325424" y="59169"/>
                </a:lnTo>
                <a:lnTo>
                  <a:pt x="355003" y="59169"/>
                </a:lnTo>
                <a:lnTo>
                  <a:pt x="355003" y="29591"/>
                </a:lnTo>
                <a:close/>
              </a:path>
              <a:path w="976629" h="414654">
                <a:moveTo>
                  <a:pt x="384594" y="118338"/>
                </a:moveTo>
                <a:lnTo>
                  <a:pt x="355003" y="118338"/>
                </a:lnTo>
                <a:lnTo>
                  <a:pt x="355003" y="147916"/>
                </a:lnTo>
                <a:lnTo>
                  <a:pt x="384594" y="147916"/>
                </a:lnTo>
                <a:lnTo>
                  <a:pt x="384594" y="118338"/>
                </a:lnTo>
                <a:close/>
              </a:path>
              <a:path w="976629" h="414654">
                <a:moveTo>
                  <a:pt x="443763" y="384594"/>
                </a:moveTo>
                <a:lnTo>
                  <a:pt x="414172" y="384594"/>
                </a:lnTo>
                <a:lnTo>
                  <a:pt x="414172" y="414172"/>
                </a:lnTo>
                <a:lnTo>
                  <a:pt x="443763" y="414172"/>
                </a:lnTo>
                <a:lnTo>
                  <a:pt x="443763" y="384594"/>
                </a:lnTo>
                <a:close/>
              </a:path>
              <a:path w="976629" h="414654">
                <a:moveTo>
                  <a:pt x="473341" y="147929"/>
                </a:moveTo>
                <a:lnTo>
                  <a:pt x="443763" y="147929"/>
                </a:lnTo>
                <a:lnTo>
                  <a:pt x="443763" y="295846"/>
                </a:lnTo>
                <a:lnTo>
                  <a:pt x="414172" y="295846"/>
                </a:lnTo>
                <a:lnTo>
                  <a:pt x="414172" y="266255"/>
                </a:lnTo>
                <a:lnTo>
                  <a:pt x="384594" y="266255"/>
                </a:lnTo>
                <a:lnTo>
                  <a:pt x="384594" y="295846"/>
                </a:lnTo>
                <a:lnTo>
                  <a:pt x="355003" y="295846"/>
                </a:lnTo>
                <a:lnTo>
                  <a:pt x="325424" y="295846"/>
                </a:lnTo>
                <a:lnTo>
                  <a:pt x="325424" y="325424"/>
                </a:lnTo>
                <a:lnTo>
                  <a:pt x="295833" y="325424"/>
                </a:lnTo>
                <a:lnTo>
                  <a:pt x="266255" y="325424"/>
                </a:lnTo>
                <a:lnTo>
                  <a:pt x="266255" y="355015"/>
                </a:lnTo>
                <a:lnTo>
                  <a:pt x="236664" y="355015"/>
                </a:lnTo>
                <a:lnTo>
                  <a:pt x="236664" y="384594"/>
                </a:lnTo>
                <a:lnTo>
                  <a:pt x="266255" y="384594"/>
                </a:lnTo>
                <a:lnTo>
                  <a:pt x="295833" y="384594"/>
                </a:lnTo>
                <a:lnTo>
                  <a:pt x="295833" y="355015"/>
                </a:lnTo>
                <a:lnTo>
                  <a:pt x="325424" y="355015"/>
                </a:lnTo>
                <a:lnTo>
                  <a:pt x="325424" y="414172"/>
                </a:lnTo>
                <a:lnTo>
                  <a:pt x="355003" y="414172"/>
                </a:lnTo>
                <a:lnTo>
                  <a:pt x="384594" y="414172"/>
                </a:lnTo>
                <a:lnTo>
                  <a:pt x="384594" y="355015"/>
                </a:lnTo>
                <a:lnTo>
                  <a:pt x="355003" y="355015"/>
                </a:lnTo>
                <a:lnTo>
                  <a:pt x="355003" y="325424"/>
                </a:lnTo>
                <a:lnTo>
                  <a:pt x="384594" y="325424"/>
                </a:lnTo>
                <a:lnTo>
                  <a:pt x="414172" y="325424"/>
                </a:lnTo>
                <a:lnTo>
                  <a:pt x="414172" y="355015"/>
                </a:lnTo>
                <a:lnTo>
                  <a:pt x="443763" y="355015"/>
                </a:lnTo>
                <a:lnTo>
                  <a:pt x="443763" y="325424"/>
                </a:lnTo>
                <a:lnTo>
                  <a:pt x="473341" y="325424"/>
                </a:lnTo>
                <a:lnTo>
                  <a:pt x="473341" y="147929"/>
                </a:lnTo>
                <a:close/>
              </a:path>
              <a:path w="976629" h="414654">
                <a:moveTo>
                  <a:pt x="591680" y="29591"/>
                </a:moveTo>
                <a:lnTo>
                  <a:pt x="562089" y="29591"/>
                </a:lnTo>
                <a:lnTo>
                  <a:pt x="562089" y="59169"/>
                </a:lnTo>
                <a:lnTo>
                  <a:pt x="591680" y="59169"/>
                </a:lnTo>
                <a:lnTo>
                  <a:pt x="591680" y="29591"/>
                </a:lnTo>
                <a:close/>
              </a:path>
              <a:path w="976629" h="414654">
                <a:moveTo>
                  <a:pt x="621258" y="88760"/>
                </a:moveTo>
                <a:lnTo>
                  <a:pt x="591680" y="88760"/>
                </a:lnTo>
                <a:lnTo>
                  <a:pt x="562089" y="88760"/>
                </a:lnTo>
                <a:lnTo>
                  <a:pt x="532511" y="88760"/>
                </a:lnTo>
                <a:lnTo>
                  <a:pt x="532511" y="59169"/>
                </a:lnTo>
                <a:lnTo>
                  <a:pt x="502920" y="59169"/>
                </a:lnTo>
                <a:lnTo>
                  <a:pt x="502920" y="0"/>
                </a:lnTo>
                <a:lnTo>
                  <a:pt x="473341" y="0"/>
                </a:lnTo>
                <a:lnTo>
                  <a:pt x="473341" y="29591"/>
                </a:lnTo>
                <a:lnTo>
                  <a:pt x="443763" y="29591"/>
                </a:lnTo>
                <a:lnTo>
                  <a:pt x="414172" y="29591"/>
                </a:lnTo>
                <a:lnTo>
                  <a:pt x="384594" y="29591"/>
                </a:lnTo>
                <a:lnTo>
                  <a:pt x="384594" y="88760"/>
                </a:lnTo>
                <a:lnTo>
                  <a:pt x="414172" y="88760"/>
                </a:lnTo>
                <a:lnTo>
                  <a:pt x="414172" y="59169"/>
                </a:lnTo>
                <a:lnTo>
                  <a:pt x="443763" y="59169"/>
                </a:lnTo>
                <a:lnTo>
                  <a:pt x="443763" y="147916"/>
                </a:lnTo>
                <a:lnTo>
                  <a:pt x="473341" y="147916"/>
                </a:lnTo>
                <a:lnTo>
                  <a:pt x="473341" y="118338"/>
                </a:lnTo>
                <a:lnTo>
                  <a:pt x="502920" y="118338"/>
                </a:lnTo>
                <a:lnTo>
                  <a:pt x="502920" y="147916"/>
                </a:lnTo>
                <a:lnTo>
                  <a:pt x="532511" y="147916"/>
                </a:lnTo>
                <a:lnTo>
                  <a:pt x="562089" y="147916"/>
                </a:lnTo>
                <a:lnTo>
                  <a:pt x="591680" y="147916"/>
                </a:lnTo>
                <a:lnTo>
                  <a:pt x="621258" y="147916"/>
                </a:lnTo>
                <a:lnTo>
                  <a:pt x="621258" y="88760"/>
                </a:lnTo>
                <a:close/>
              </a:path>
              <a:path w="976629" h="414654">
                <a:moveTo>
                  <a:pt x="650849" y="29591"/>
                </a:moveTo>
                <a:lnTo>
                  <a:pt x="621271" y="29591"/>
                </a:lnTo>
                <a:lnTo>
                  <a:pt x="621271" y="59169"/>
                </a:lnTo>
                <a:lnTo>
                  <a:pt x="650849" y="59169"/>
                </a:lnTo>
                <a:lnTo>
                  <a:pt x="650849" y="29591"/>
                </a:lnTo>
                <a:close/>
              </a:path>
              <a:path w="976629" h="414654">
                <a:moveTo>
                  <a:pt x="680427" y="59169"/>
                </a:moveTo>
                <a:lnTo>
                  <a:pt x="650849" y="59169"/>
                </a:lnTo>
                <a:lnTo>
                  <a:pt x="650849" y="88760"/>
                </a:lnTo>
                <a:lnTo>
                  <a:pt x="680427" y="88760"/>
                </a:lnTo>
                <a:lnTo>
                  <a:pt x="680427" y="59169"/>
                </a:lnTo>
                <a:close/>
              </a:path>
              <a:path w="976629" h="414654">
                <a:moveTo>
                  <a:pt x="710018" y="29591"/>
                </a:moveTo>
                <a:lnTo>
                  <a:pt x="680427" y="29591"/>
                </a:lnTo>
                <a:lnTo>
                  <a:pt x="680427" y="59169"/>
                </a:lnTo>
                <a:lnTo>
                  <a:pt x="710018" y="59169"/>
                </a:lnTo>
                <a:lnTo>
                  <a:pt x="710018" y="29591"/>
                </a:lnTo>
                <a:close/>
              </a:path>
              <a:path w="976629" h="414654">
                <a:moveTo>
                  <a:pt x="828357" y="0"/>
                </a:moveTo>
                <a:lnTo>
                  <a:pt x="798766" y="0"/>
                </a:lnTo>
                <a:lnTo>
                  <a:pt x="769188" y="0"/>
                </a:lnTo>
                <a:lnTo>
                  <a:pt x="769188" y="29591"/>
                </a:lnTo>
                <a:lnTo>
                  <a:pt x="798766" y="29591"/>
                </a:lnTo>
                <a:lnTo>
                  <a:pt x="828357" y="29591"/>
                </a:lnTo>
                <a:lnTo>
                  <a:pt x="828357" y="0"/>
                </a:lnTo>
                <a:close/>
              </a:path>
              <a:path w="976629" h="414654">
                <a:moveTo>
                  <a:pt x="887514" y="29591"/>
                </a:moveTo>
                <a:lnTo>
                  <a:pt x="857935" y="29591"/>
                </a:lnTo>
                <a:lnTo>
                  <a:pt x="857935" y="59169"/>
                </a:lnTo>
                <a:lnTo>
                  <a:pt x="828357" y="59169"/>
                </a:lnTo>
                <a:lnTo>
                  <a:pt x="798766" y="59169"/>
                </a:lnTo>
                <a:lnTo>
                  <a:pt x="769188" y="59169"/>
                </a:lnTo>
                <a:lnTo>
                  <a:pt x="739597" y="59169"/>
                </a:lnTo>
                <a:lnTo>
                  <a:pt x="739597" y="88760"/>
                </a:lnTo>
                <a:lnTo>
                  <a:pt x="769188" y="88760"/>
                </a:lnTo>
                <a:lnTo>
                  <a:pt x="769188" y="118338"/>
                </a:lnTo>
                <a:lnTo>
                  <a:pt x="739597" y="118338"/>
                </a:lnTo>
                <a:lnTo>
                  <a:pt x="739597" y="88760"/>
                </a:lnTo>
                <a:lnTo>
                  <a:pt x="710018" y="88760"/>
                </a:lnTo>
                <a:lnTo>
                  <a:pt x="680427" y="88760"/>
                </a:lnTo>
                <a:lnTo>
                  <a:pt x="680427" y="118338"/>
                </a:lnTo>
                <a:lnTo>
                  <a:pt x="650849" y="118338"/>
                </a:lnTo>
                <a:lnTo>
                  <a:pt x="650849" y="147916"/>
                </a:lnTo>
                <a:lnTo>
                  <a:pt x="680427" y="147916"/>
                </a:lnTo>
                <a:lnTo>
                  <a:pt x="710018" y="147916"/>
                </a:lnTo>
                <a:lnTo>
                  <a:pt x="739597" y="147916"/>
                </a:lnTo>
                <a:lnTo>
                  <a:pt x="769188" y="147916"/>
                </a:lnTo>
                <a:lnTo>
                  <a:pt x="798766" y="147916"/>
                </a:lnTo>
                <a:lnTo>
                  <a:pt x="798766" y="118338"/>
                </a:lnTo>
                <a:lnTo>
                  <a:pt x="828357" y="118338"/>
                </a:lnTo>
                <a:lnTo>
                  <a:pt x="828357" y="88760"/>
                </a:lnTo>
                <a:lnTo>
                  <a:pt x="857935" y="88760"/>
                </a:lnTo>
                <a:lnTo>
                  <a:pt x="857935" y="147916"/>
                </a:lnTo>
                <a:lnTo>
                  <a:pt x="887514" y="147916"/>
                </a:lnTo>
                <a:lnTo>
                  <a:pt x="887514" y="29591"/>
                </a:lnTo>
                <a:close/>
              </a:path>
              <a:path w="976629" h="414654">
                <a:moveTo>
                  <a:pt x="917105" y="29591"/>
                </a:moveTo>
                <a:lnTo>
                  <a:pt x="887526" y="29591"/>
                </a:lnTo>
                <a:lnTo>
                  <a:pt x="887526" y="59169"/>
                </a:lnTo>
                <a:lnTo>
                  <a:pt x="917105" y="59169"/>
                </a:lnTo>
                <a:lnTo>
                  <a:pt x="917105" y="29591"/>
                </a:lnTo>
                <a:close/>
              </a:path>
              <a:path w="976629" h="414654">
                <a:moveTo>
                  <a:pt x="976274" y="118338"/>
                </a:moveTo>
                <a:lnTo>
                  <a:pt x="946683" y="118338"/>
                </a:lnTo>
                <a:lnTo>
                  <a:pt x="946683" y="88760"/>
                </a:lnTo>
                <a:lnTo>
                  <a:pt x="917105" y="88760"/>
                </a:lnTo>
                <a:lnTo>
                  <a:pt x="917105" y="147916"/>
                </a:lnTo>
                <a:lnTo>
                  <a:pt x="946683" y="147916"/>
                </a:lnTo>
                <a:lnTo>
                  <a:pt x="976274" y="147916"/>
                </a:lnTo>
                <a:lnTo>
                  <a:pt x="976274" y="118338"/>
                </a:lnTo>
                <a:close/>
              </a:path>
              <a:path w="976629" h="414654">
                <a:moveTo>
                  <a:pt x="976274" y="0"/>
                </a:moveTo>
                <a:lnTo>
                  <a:pt x="946683" y="0"/>
                </a:lnTo>
                <a:lnTo>
                  <a:pt x="917105" y="0"/>
                </a:lnTo>
                <a:lnTo>
                  <a:pt x="917105" y="29591"/>
                </a:lnTo>
                <a:lnTo>
                  <a:pt x="946683" y="29591"/>
                </a:lnTo>
                <a:lnTo>
                  <a:pt x="946683" y="59169"/>
                </a:lnTo>
                <a:lnTo>
                  <a:pt x="976274" y="59169"/>
                </a:lnTo>
                <a:lnTo>
                  <a:pt x="976274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2" name="object 859">
            <a:extLst>
              <a:ext uri="{FF2B5EF4-FFF2-40B4-BE49-F238E27FC236}">
                <a16:creationId xmlns:a16="http://schemas.microsoft.com/office/drawing/2014/main" id="{98B16A43-7D33-4AF4-AB60-CA47CD40571C}"/>
              </a:ext>
            </a:extLst>
          </xdr:cNvPr>
          <xdr:cNvSpPr/>
        </xdr:nvSpPr>
        <xdr:spPr>
          <a:xfrm>
            <a:off x="9294775" y="3579006"/>
            <a:ext cx="976630" cy="443865"/>
          </a:xfrm>
          <a:custGeom>
            <a:avLst/>
            <a:gdLst/>
            <a:ahLst/>
            <a:cxnLst/>
            <a:rect l="l" t="t" r="r" b="b"/>
            <a:pathLst>
              <a:path w="976629" h="443864">
                <a:moveTo>
                  <a:pt x="88747" y="295833"/>
                </a:moveTo>
                <a:lnTo>
                  <a:pt x="59169" y="295833"/>
                </a:lnTo>
                <a:lnTo>
                  <a:pt x="59169" y="384581"/>
                </a:lnTo>
                <a:lnTo>
                  <a:pt x="88747" y="384581"/>
                </a:lnTo>
                <a:lnTo>
                  <a:pt x="88747" y="295833"/>
                </a:lnTo>
                <a:close/>
              </a:path>
              <a:path w="976629" h="443864">
                <a:moveTo>
                  <a:pt x="207086" y="266255"/>
                </a:moveTo>
                <a:lnTo>
                  <a:pt x="177507" y="266255"/>
                </a:lnTo>
                <a:lnTo>
                  <a:pt x="177507" y="414172"/>
                </a:lnTo>
                <a:lnTo>
                  <a:pt x="147916" y="414172"/>
                </a:lnTo>
                <a:lnTo>
                  <a:pt x="118338" y="414172"/>
                </a:lnTo>
                <a:lnTo>
                  <a:pt x="88747" y="414172"/>
                </a:lnTo>
                <a:lnTo>
                  <a:pt x="59169" y="414172"/>
                </a:lnTo>
                <a:lnTo>
                  <a:pt x="29578" y="414172"/>
                </a:lnTo>
                <a:lnTo>
                  <a:pt x="29578" y="266255"/>
                </a:lnTo>
                <a:lnTo>
                  <a:pt x="0" y="266255"/>
                </a:lnTo>
                <a:lnTo>
                  <a:pt x="0" y="443750"/>
                </a:lnTo>
                <a:lnTo>
                  <a:pt x="29578" y="443750"/>
                </a:lnTo>
                <a:lnTo>
                  <a:pt x="59169" y="443750"/>
                </a:lnTo>
                <a:lnTo>
                  <a:pt x="207086" y="443750"/>
                </a:lnTo>
                <a:lnTo>
                  <a:pt x="207086" y="266255"/>
                </a:lnTo>
                <a:close/>
              </a:path>
              <a:path w="976629" h="443864">
                <a:moveTo>
                  <a:pt x="207086" y="236664"/>
                </a:moveTo>
                <a:lnTo>
                  <a:pt x="207086" y="236664"/>
                </a:lnTo>
                <a:lnTo>
                  <a:pt x="0" y="236664"/>
                </a:lnTo>
                <a:lnTo>
                  <a:pt x="0" y="266242"/>
                </a:lnTo>
                <a:lnTo>
                  <a:pt x="207086" y="266242"/>
                </a:lnTo>
                <a:lnTo>
                  <a:pt x="207086" y="236664"/>
                </a:lnTo>
                <a:close/>
              </a:path>
              <a:path w="976629" h="443864">
                <a:moveTo>
                  <a:pt x="266255" y="59156"/>
                </a:moveTo>
                <a:lnTo>
                  <a:pt x="236664" y="59156"/>
                </a:lnTo>
                <a:lnTo>
                  <a:pt x="207086" y="59156"/>
                </a:lnTo>
                <a:lnTo>
                  <a:pt x="207086" y="88747"/>
                </a:lnTo>
                <a:lnTo>
                  <a:pt x="236664" y="88747"/>
                </a:lnTo>
                <a:lnTo>
                  <a:pt x="266255" y="88747"/>
                </a:lnTo>
                <a:lnTo>
                  <a:pt x="266255" y="59156"/>
                </a:lnTo>
                <a:close/>
              </a:path>
              <a:path w="976629" h="443864">
                <a:moveTo>
                  <a:pt x="295833" y="88747"/>
                </a:moveTo>
                <a:lnTo>
                  <a:pt x="266255" y="88747"/>
                </a:lnTo>
                <a:lnTo>
                  <a:pt x="266255" y="118325"/>
                </a:lnTo>
                <a:lnTo>
                  <a:pt x="295833" y="118325"/>
                </a:lnTo>
                <a:lnTo>
                  <a:pt x="295833" y="88747"/>
                </a:lnTo>
                <a:close/>
              </a:path>
              <a:path w="976629" h="443864">
                <a:moveTo>
                  <a:pt x="295833" y="0"/>
                </a:moveTo>
                <a:lnTo>
                  <a:pt x="266255" y="0"/>
                </a:lnTo>
                <a:lnTo>
                  <a:pt x="266255" y="29578"/>
                </a:lnTo>
                <a:lnTo>
                  <a:pt x="295833" y="29578"/>
                </a:lnTo>
                <a:lnTo>
                  <a:pt x="295833" y="0"/>
                </a:lnTo>
                <a:close/>
              </a:path>
              <a:path w="976629" h="443864">
                <a:moveTo>
                  <a:pt x="325424" y="118325"/>
                </a:moveTo>
                <a:lnTo>
                  <a:pt x="295833" y="118325"/>
                </a:lnTo>
                <a:lnTo>
                  <a:pt x="295833" y="147916"/>
                </a:lnTo>
                <a:lnTo>
                  <a:pt x="325424" y="147916"/>
                </a:lnTo>
                <a:lnTo>
                  <a:pt x="325424" y="118325"/>
                </a:lnTo>
                <a:close/>
              </a:path>
              <a:path w="976629" h="443864">
                <a:moveTo>
                  <a:pt x="325424" y="29578"/>
                </a:moveTo>
                <a:lnTo>
                  <a:pt x="295833" y="29578"/>
                </a:lnTo>
                <a:lnTo>
                  <a:pt x="295833" y="59156"/>
                </a:lnTo>
                <a:lnTo>
                  <a:pt x="325424" y="59156"/>
                </a:lnTo>
                <a:lnTo>
                  <a:pt x="325424" y="29578"/>
                </a:lnTo>
                <a:close/>
              </a:path>
              <a:path w="976629" h="443864">
                <a:moveTo>
                  <a:pt x="384594" y="0"/>
                </a:moveTo>
                <a:lnTo>
                  <a:pt x="355003" y="0"/>
                </a:lnTo>
                <a:lnTo>
                  <a:pt x="325424" y="0"/>
                </a:lnTo>
                <a:lnTo>
                  <a:pt x="325424" y="29578"/>
                </a:lnTo>
                <a:lnTo>
                  <a:pt x="355003" y="29578"/>
                </a:lnTo>
                <a:lnTo>
                  <a:pt x="384594" y="29578"/>
                </a:lnTo>
                <a:lnTo>
                  <a:pt x="384594" y="0"/>
                </a:lnTo>
                <a:close/>
              </a:path>
              <a:path w="976629" h="443864">
                <a:moveTo>
                  <a:pt x="414172" y="59156"/>
                </a:moveTo>
                <a:lnTo>
                  <a:pt x="384594" y="59156"/>
                </a:lnTo>
                <a:lnTo>
                  <a:pt x="355003" y="59156"/>
                </a:lnTo>
                <a:lnTo>
                  <a:pt x="355003" y="88747"/>
                </a:lnTo>
                <a:lnTo>
                  <a:pt x="325424" y="88747"/>
                </a:lnTo>
                <a:lnTo>
                  <a:pt x="325424" y="118325"/>
                </a:lnTo>
                <a:lnTo>
                  <a:pt x="355003" y="118325"/>
                </a:lnTo>
                <a:lnTo>
                  <a:pt x="384594" y="118325"/>
                </a:lnTo>
                <a:lnTo>
                  <a:pt x="384594" y="88747"/>
                </a:lnTo>
                <a:lnTo>
                  <a:pt x="414172" y="88747"/>
                </a:lnTo>
                <a:lnTo>
                  <a:pt x="414172" y="59156"/>
                </a:lnTo>
                <a:close/>
              </a:path>
              <a:path w="976629" h="443864">
                <a:moveTo>
                  <a:pt x="562089" y="118325"/>
                </a:moveTo>
                <a:lnTo>
                  <a:pt x="532511" y="118325"/>
                </a:lnTo>
                <a:lnTo>
                  <a:pt x="502920" y="118325"/>
                </a:lnTo>
                <a:lnTo>
                  <a:pt x="502920" y="147916"/>
                </a:lnTo>
                <a:lnTo>
                  <a:pt x="473341" y="147916"/>
                </a:lnTo>
                <a:lnTo>
                  <a:pt x="473341" y="118325"/>
                </a:lnTo>
                <a:lnTo>
                  <a:pt x="502920" y="118325"/>
                </a:lnTo>
                <a:lnTo>
                  <a:pt x="502920" y="59156"/>
                </a:lnTo>
                <a:lnTo>
                  <a:pt x="473341" y="59156"/>
                </a:lnTo>
                <a:lnTo>
                  <a:pt x="473341" y="0"/>
                </a:lnTo>
                <a:lnTo>
                  <a:pt x="443763" y="0"/>
                </a:lnTo>
                <a:lnTo>
                  <a:pt x="414172" y="0"/>
                </a:lnTo>
                <a:lnTo>
                  <a:pt x="414172" y="29578"/>
                </a:lnTo>
                <a:lnTo>
                  <a:pt x="443763" y="29578"/>
                </a:lnTo>
                <a:lnTo>
                  <a:pt x="443763" y="177495"/>
                </a:lnTo>
                <a:lnTo>
                  <a:pt x="473341" y="177495"/>
                </a:lnTo>
                <a:lnTo>
                  <a:pt x="473341" y="207086"/>
                </a:lnTo>
                <a:lnTo>
                  <a:pt x="502920" y="207086"/>
                </a:lnTo>
                <a:lnTo>
                  <a:pt x="532511" y="207086"/>
                </a:lnTo>
                <a:lnTo>
                  <a:pt x="532511" y="147916"/>
                </a:lnTo>
                <a:lnTo>
                  <a:pt x="562089" y="147916"/>
                </a:lnTo>
                <a:lnTo>
                  <a:pt x="562089" y="118325"/>
                </a:lnTo>
                <a:close/>
              </a:path>
              <a:path w="976629" h="443864">
                <a:moveTo>
                  <a:pt x="621258" y="59156"/>
                </a:moveTo>
                <a:lnTo>
                  <a:pt x="591680" y="59156"/>
                </a:lnTo>
                <a:lnTo>
                  <a:pt x="591680" y="0"/>
                </a:lnTo>
                <a:lnTo>
                  <a:pt x="562089" y="0"/>
                </a:lnTo>
                <a:lnTo>
                  <a:pt x="562089" y="59156"/>
                </a:lnTo>
                <a:lnTo>
                  <a:pt x="532511" y="59156"/>
                </a:lnTo>
                <a:lnTo>
                  <a:pt x="532511" y="88747"/>
                </a:lnTo>
                <a:lnTo>
                  <a:pt x="562089" y="88747"/>
                </a:lnTo>
                <a:lnTo>
                  <a:pt x="591680" y="88747"/>
                </a:lnTo>
                <a:lnTo>
                  <a:pt x="591680" y="147916"/>
                </a:lnTo>
                <a:lnTo>
                  <a:pt x="562089" y="147916"/>
                </a:lnTo>
                <a:lnTo>
                  <a:pt x="562089" y="177495"/>
                </a:lnTo>
                <a:lnTo>
                  <a:pt x="591680" y="177495"/>
                </a:lnTo>
                <a:lnTo>
                  <a:pt x="591680" y="207086"/>
                </a:lnTo>
                <a:lnTo>
                  <a:pt x="562089" y="207086"/>
                </a:lnTo>
                <a:lnTo>
                  <a:pt x="532511" y="207086"/>
                </a:lnTo>
                <a:lnTo>
                  <a:pt x="532511" y="236664"/>
                </a:lnTo>
                <a:lnTo>
                  <a:pt x="502920" y="236664"/>
                </a:lnTo>
                <a:lnTo>
                  <a:pt x="473341" y="236664"/>
                </a:lnTo>
                <a:lnTo>
                  <a:pt x="473341" y="266242"/>
                </a:lnTo>
                <a:lnTo>
                  <a:pt x="502920" y="266242"/>
                </a:lnTo>
                <a:lnTo>
                  <a:pt x="532511" y="266242"/>
                </a:lnTo>
                <a:lnTo>
                  <a:pt x="562089" y="266242"/>
                </a:lnTo>
                <a:lnTo>
                  <a:pt x="591680" y="266242"/>
                </a:lnTo>
                <a:lnTo>
                  <a:pt x="591680" y="236664"/>
                </a:lnTo>
                <a:lnTo>
                  <a:pt x="621258" y="236664"/>
                </a:lnTo>
                <a:lnTo>
                  <a:pt x="621258" y="59156"/>
                </a:lnTo>
                <a:close/>
              </a:path>
              <a:path w="976629" h="443864">
                <a:moveTo>
                  <a:pt x="650849" y="207086"/>
                </a:moveTo>
                <a:lnTo>
                  <a:pt x="621271" y="207086"/>
                </a:lnTo>
                <a:lnTo>
                  <a:pt x="621271" y="236664"/>
                </a:lnTo>
                <a:lnTo>
                  <a:pt x="650849" y="236664"/>
                </a:lnTo>
                <a:lnTo>
                  <a:pt x="650849" y="207086"/>
                </a:lnTo>
                <a:close/>
              </a:path>
              <a:path w="976629" h="443864">
                <a:moveTo>
                  <a:pt x="710018" y="0"/>
                </a:moveTo>
                <a:lnTo>
                  <a:pt x="680427" y="0"/>
                </a:lnTo>
                <a:lnTo>
                  <a:pt x="650849" y="0"/>
                </a:lnTo>
                <a:lnTo>
                  <a:pt x="621271" y="0"/>
                </a:lnTo>
                <a:lnTo>
                  <a:pt x="621271" y="29578"/>
                </a:lnTo>
                <a:lnTo>
                  <a:pt x="650849" y="29578"/>
                </a:lnTo>
                <a:lnTo>
                  <a:pt x="650849" y="59156"/>
                </a:lnTo>
                <a:lnTo>
                  <a:pt x="621271" y="59156"/>
                </a:lnTo>
                <a:lnTo>
                  <a:pt x="621271" y="88747"/>
                </a:lnTo>
                <a:lnTo>
                  <a:pt x="650849" y="88747"/>
                </a:lnTo>
                <a:lnTo>
                  <a:pt x="650849" y="118325"/>
                </a:lnTo>
                <a:lnTo>
                  <a:pt x="621271" y="118325"/>
                </a:lnTo>
                <a:lnTo>
                  <a:pt x="621271" y="147916"/>
                </a:lnTo>
                <a:lnTo>
                  <a:pt x="650849" y="147916"/>
                </a:lnTo>
                <a:lnTo>
                  <a:pt x="680427" y="147916"/>
                </a:lnTo>
                <a:lnTo>
                  <a:pt x="680427" y="29578"/>
                </a:lnTo>
                <a:lnTo>
                  <a:pt x="710018" y="29578"/>
                </a:lnTo>
                <a:lnTo>
                  <a:pt x="710018" y="0"/>
                </a:lnTo>
                <a:close/>
              </a:path>
              <a:path w="976629" h="443864">
                <a:moveTo>
                  <a:pt x="798766" y="236664"/>
                </a:moveTo>
                <a:lnTo>
                  <a:pt x="769188" y="236664"/>
                </a:lnTo>
                <a:lnTo>
                  <a:pt x="769188" y="266242"/>
                </a:lnTo>
                <a:lnTo>
                  <a:pt x="798766" y="266242"/>
                </a:lnTo>
                <a:lnTo>
                  <a:pt x="798766" y="236664"/>
                </a:lnTo>
                <a:close/>
              </a:path>
              <a:path w="976629" h="443864">
                <a:moveTo>
                  <a:pt x="828357" y="0"/>
                </a:moveTo>
                <a:lnTo>
                  <a:pt x="798766" y="0"/>
                </a:lnTo>
                <a:lnTo>
                  <a:pt x="798766" y="29578"/>
                </a:lnTo>
                <a:lnTo>
                  <a:pt x="828357" y="29578"/>
                </a:lnTo>
                <a:lnTo>
                  <a:pt x="828357" y="0"/>
                </a:lnTo>
                <a:close/>
              </a:path>
              <a:path w="976629" h="443864">
                <a:moveTo>
                  <a:pt x="887514" y="236664"/>
                </a:moveTo>
                <a:lnTo>
                  <a:pt x="857935" y="236664"/>
                </a:lnTo>
                <a:lnTo>
                  <a:pt x="857935" y="177495"/>
                </a:lnTo>
                <a:lnTo>
                  <a:pt x="828357" y="177495"/>
                </a:lnTo>
                <a:lnTo>
                  <a:pt x="828357" y="147916"/>
                </a:lnTo>
                <a:lnTo>
                  <a:pt x="857935" y="147916"/>
                </a:lnTo>
                <a:lnTo>
                  <a:pt x="857935" y="118325"/>
                </a:lnTo>
                <a:lnTo>
                  <a:pt x="828357" y="118325"/>
                </a:lnTo>
                <a:lnTo>
                  <a:pt x="828357" y="88747"/>
                </a:lnTo>
                <a:lnTo>
                  <a:pt x="798766" y="88747"/>
                </a:lnTo>
                <a:lnTo>
                  <a:pt x="798766" y="147916"/>
                </a:lnTo>
                <a:lnTo>
                  <a:pt x="798766" y="177495"/>
                </a:lnTo>
                <a:lnTo>
                  <a:pt x="769188" y="177495"/>
                </a:lnTo>
                <a:lnTo>
                  <a:pt x="739597" y="177495"/>
                </a:lnTo>
                <a:lnTo>
                  <a:pt x="739597" y="118325"/>
                </a:lnTo>
                <a:lnTo>
                  <a:pt x="769188" y="118325"/>
                </a:lnTo>
                <a:lnTo>
                  <a:pt x="769188" y="147916"/>
                </a:lnTo>
                <a:lnTo>
                  <a:pt x="798766" y="147916"/>
                </a:lnTo>
                <a:lnTo>
                  <a:pt x="798766" y="88747"/>
                </a:lnTo>
                <a:lnTo>
                  <a:pt x="798766" y="29578"/>
                </a:lnTo>
                <a:lnTo>
                  <a:pt x="769188" y="29578"/>
                </a:lnTo>
                <a:lnTo>
                  <a:pt x="769188" y="59156"/>
                </a:lnTo>
                <a:lnTo>
                  <a:pt x="769188" y="88747"/>
                </a:lnTo>
                <a:lnTo>
                  <a:pt x="739597" y="88747"/>
                </a:lnTo>
                <a:lnTo>
                  <a:pt x="739597" y="59156"/>
                </a:lnTo>
                <a:lnTo>
                  <a:pt x="769188" y="59156"/>
                </a:lnTo>
                <a:lnTo>
                  <a:pt x="769188" y="29578"/>
                </a:lnTo>
                <a:lnTo>
                  <a:pt x="739597" y="29578"/>
                </a:lnTo>
                <a:lnTo>
                  <a:pt x="710018" y="29578"/>
                </a:lnTo>
                <a:lnTo>
                  <a:pt x="710018" y="147916"/>
                </a:lnTo>
                <a:lnTo>
                  <a:pt x="680427" y="147916"/>
                </a:lnTo>
                <a:lnTo>
                  <a:pt x="680427" y="177495"/>
                </a:lnTo>
                <a:lnTo>
                  <a:pt x="710018" y="177495"/>
                </a:lnTo>
                <a:lnTo>
                  <a:pt x="710018" y="266242"/>
                </a:lnTo>
                <a:lnTo>
                  <a:pt x="739597" y="266242"/>
                </a:lnTo>
                <a:lnTo>
                  <a:pt x="739597" y="207086"/>
                </a:lnTo>
                <a:lnTo>
                  <a:pt x="769188" y="207086"/>
                </a:lnTo>
                <a:lnTo>
                  <a:pt x="798766" y="207086"/>
                </a:lnTo>
                <a:lnTo>
                  <a:pt x="828357" y="207086"/>
                </a:lnTo>
                <a:lnTo>
                  <a:pt x="828357" y="266242"/>
                </a:lnTo>
                <a:lnTo>
                  <a:pt x="857935" y="266242"/>
                </a:lnTo>
                <a:lnTo>
                  <a:pt x="887514" y="266242"/>
                </a:lnTo>
                <a:lnTo>
                  <a:pt x="887514" y="236664"/>
                </a:lnTo>
                <a:close/>
              </a:path>
              <a:path w="976629" h="443864">
                <a:moveTo>
                  <a:pt x="887514" y="147916"/>
                </a:moveTo>
                <a:lnTo>
                  <a:pt x="857935" y="147916"/>
                </a:lnTo>
                <a:lnTo>
                  <a:pt x="857935" y="177495"/>
                </a:lnTo>
                <a:lnTo>
                  <a:pt x="887514" y="177495"/>
                </a:lnTo>
                <a:lnTo>
                  <a:pt x="887514" y="147916"/>
                </a:lnTo>
                <a:close/>
              </a:path>
              <a:path w="976629" h="443864">
                <a:moveTo>
                  <a:pt x="887514" y="88747"/>
                </a:moveTo>
                <a:lnTo>
                  <a:pt x="857935" y="88747"/>
                </a:lnTo>
                <a:lnTo>
                  <a:pt x="857935" y="118325"/>
                </a:lnTo>
                <a:lnTo>
                  <a:pt x="887514" y="118325"/>
                </a:lnTo>
                <a:lnTo>
                  <a:pt x="887514" y="88747"/>
                </a:lnTo>
                <a:close/>
              </a:path>
              <a:path w="976629" h="443864">
                <a:moveTo>
                  <a:pt x="887514" y="0"/>
                </a:moveTo>
                <a:lnTo>
                  <a:pt x="857935" y="0"/>
                </a:lnTo>
                <a:lnTo>
                  <a:pt x="857935" y="29578"/>
                </a:lnTo>
                <a:lnTo>
                  <a:pt x="828357" y="29578"/>
                </a:lnTo>
                <a:lnTo>
                  <a:pt x="828357" y="88747"/>
                </a:lnTo>
                <a:lnTo>
                  <a:pt x="857935" y="88747"/>
                </a:lnTo>
                <a:lnTo>
                  <a:pt x="857935" y="59156"/>
                </a:lnTo>
                <a:lnTo>
                  <a:pt x="887514" y="59156"/>
                </a:lnTo>
                <a:lnTo>
                  <a:pt x="887514" y="0"/>
                </a:lnTo>
                <a:close/>
              </a:path>
              <a:path w="976629" h="443864">
                <a:moveTo>
                  <a:pt x="917105" y="236664"/>
                </a:moveTo>
                <a:lnTo>
                  <a:pt x="887526" y="236664"/>
                </a:lnTo>
                <a:lnTo>
                  <a:pt x="887526" y="266242"/>
                </a:lnTo>
                <a:lnTo>
                  <a:pt x="917105" y="266242"/>
                </a:lnTo>
                <a:lnTo>
                  <a:pt x="917105" y="236664"/>
                </a:lnTo>
                <a:close/>
              </a:path>
              <a:path w="976629" h="443864">
                <a:moveTo>
                  <a:pt x="917105" y="88747"/>
                </a:moveTo>
                <a:lnTo>
                  <a:pt x="887526" y="88747"/>
                </a:lnTo>
                <a:lnTo>
                  <a:pt x="887526" y="118325"/>
                </a:lnTo>
                <a:lnTo>
                  <a:pt x="917105" y="118325"/>
                </a:lnTo>
                <a:lnTo>
                  <a:pt x="917105" y="88747"/>
                </a:lnTo>
                <a:close/>
              </a:path>
              <a:path w="976629" h="443864">
                <a:moveTo>
                  <a:pt x="917105" y="0"/>
                </a:moveTo>
                <a:lnTo>
                  <a:pt x="887526" y="0"/>
                </a:lnTo>
                <a:lnTo>
                  <a:pt x="887526" y="29578"/>
                </a:lnTo>
                <a:lnTo>
                  <a:pt x="917105" y="29578"/>
                </a:lnTo>
                <a:lnTo>
                  <a:pt x="917105" y="0"/>
                </a:lnTo>
                <a:close/>
              </a:path>
              <a:path w="976629" h="443864">
                <a:moveTo>
                  <a:pt x="946683" y="29578"/>
                </a:moveTo>
                <a:lnTo>
                  <a:pt x="917105" y="29578"/>
                </a:lnTo>
                <a:lnTo>
                  <a:pt x="917105" y="59156"/>
                </a:lnTo>
                <a:lnTo>
                  <a:pt x="946683" y="59156"/>
                </a:lnTo>
                <a:lnTo>
                  <a:pt x="946683" y="29578"/>
                </a:lnTo>
                <a:close/>
              </a:path>
              <a:path w="976629" h="443864">
                <a:moveTo>
                  <a:pt x="976274" y="177495"/>
                </a:moveTo>
                <a:lnTo>
                  <a:pt x="946683" y="177495"/>
                </a:lnTo>
                <a:lnTo>
                  <a:pt x="946683" y="147916"/>
                </a:lnTo>
                <a:lnTo>
                  <a:pt x="917105" y="147916"/>
                </a:lnTo>
                <a:lnTo>
                  <a:pt x="917105" y="236664"/>
                </a:lnTo>
                <a:lnTo>
                  <a:pt x="946683" y="236664"/>
                </a:lnTo>
                <a:lnTo>
                  <a:pt x="946683" y="266242"/>
                </a:lnTo>
                <a:lnTo>
                  <a:pt x="976274" y="266242"/>
                </a:lnTo>
                <a:lnTo>
                  <a:pt x="976274" y="177495"/>
                </a:lnTo>
                <a:close/>
              </a:path>
              <a:path w="976629" h="443864">
                <a:moveTo>
                  <a:pt x="976274" y="59156"/>
                </a:moveTo>
                <a:lnTo>
                  <a:pt x="946683" y="59156"/>
                </a:lnTo>
                <a:lnTo>
                  <a:pt x="946683" y="147916"/>
                </a:lnTo>
                <a:lnTo>
                  <a:pt x="976274" y="147916"/>
                </a:lnTo>
                <a:lnTo>
                  <a:pt x="976274" y="59156"/>
                </a:lnTo>
                <a:close/>
              </a:path>
              <a:path w="976629" h="443864">
                <a:moveTo>
                  <a:pt x="976274" y="0"/>
                </a:moveTo>
                <a:lnTo>
                  <a:pt x="946683" y="0"/>
                </a:lnTo>
                <a:lnTo>
                  <a:pt x="946683" y="29578"/>
                </a:lnTo>
                <a:lnTo>
                  <a:pt x="976274" y="29578"/>
                </a:lnTo>
                <a:lnTo>
                  <a:pt x="976274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  <xdr:sp macro="" textlink="">
        <xdr:nvSpPr>
          <xdr:cNvPr id="43" name="object 860">
            <a:extLst>
              <a:ext uri="{FF2B5EF4-FFF2-40B4-BE49-F238E27FC236}">
                <a16:creationId xmlns:a16="http://schemas.microsoft.com/office/drawing/2014/main" id="{394F48E1-13EF-4009-9269-2312AD88ADE3}"/>
              </a:ext>
            </a:extLst>
          </xdr:cNvPr>
          <xdr:cNvSpPr/>
        </xdr:nvSpPr>
        <xdr:spPr>
          <a:xfrm>
            <a:off x="9353944" y="3845262"/>
            <a:ext cx="917575" cy="177800"/>
          </a:xfrm>
          <a:custGeom>
            <a:avLst/>
            <a:gdLst/>
            <a:ahLst/>
            <a:cxnLst/>
            <a:rect l="l" t="t" r="r" b="b"/>
            <a:pathLst>
              <a:path w="917575" h="177800">
                <a:moveTo>
                  <a:pt x="88747" y="29578"/>
                </a:moveTo>
                <a:lnTo>
                  <a:pt x="59169" y="29578"/>
                </a:lnTo>
                <a:lnTo>
                  <a:pt x="29578" y="29578"/>
                </a:lnTo>
                <a:lnTo>
                  <a:pt x="0" y="29578"/>
                </a:lnTo>
                <a:lnTo>
                  <a:pt x="0" y="118325"/>
                </a:lnTo>
                <a:lnTo>
                  <a:pt x="29578" y="118325"/>
                </a:lnTo>
                <a:lnTo>
                  <a:pt x="59169" y="118325"/>
                </a:lnTo>
                <a:lnTo>
                  <a:pt x="88747" y="118325"/>
                </a:lnTo>
                <a:lnTo>
                  <a:pt x="88747" y="29578"/>
                </a:lnTo>
                <a:close/>
              </a:path>
              <a:path w="917575" h="177800">
                <a:moveTo>
                  <a:pt x="207086" y="88747"/>
                </a:moveTo>
                <a:lnTo>
                  <a:pt x="177495" y="88747"/>
                </a:lnTo>
                <a:lnTo>
                  <a:pt x="177495" y="147916"/>
                </a:lnTo>
                <a:lnTo>
                  <a:pt x="207086" y="147916"/>
                </a:lnTo>
                <a:lnTo>
                  <a:pt x="207086" y="88747"/>
                </a:lnTo>
                <a:close/>
              </a:path>
              <a:path w="917575" h="177800">
                <a:moveTo>
                  <a:pt x="443750" y="118325"/>
                </a:moveTo>
                <a:lnTo>
                  <a:pt x="414172" y="118325"/>
                </a:lnTo>
                <a:lnTo>
                  <a:pt x="414172" y="147916"/>
                </a:lnTo>
                <a:lnTo>
                  <a:pt x="443750" y="147916"/>
                </a:lnTo>
                <a:lnTo>
                  <a:pt x="443750" y="118325"/>
                </a:lnTo>
                <a:close/>
              </a:path>
              <a:path w="917575" h="177800">
                <a:moveTo>
                  <a:pt x="443750" y="29578"/>
                </a:moveTo>
                <a:lnTo>
                  <a:pt x="414172" y="29578"/>
                </a:lnTo>
                <a:lnTo>
                  <a:pt x="414172" y="0"/>
                </a:lnTo>
                <a:lnTo>
                  <a:pt x="384594" y="0"/>
                </a:lnTo>
                <a:lnTo>
                  <a:pt x="384594" y="59156"/>
                </a:lnTo>
                <a:lnTo>
                  <a:pt x="355003" y="59156"/>
                </a:lnTo>
                <a:lnTo>
                  <a:pt x="355003" y="0"/>
                </a:lnTo>
                <a:lnTo>
                  <a:pt x="325424" y="0"/>
                </a:lnTo>
                <a:lnTo>
                  <a:pt x="325424" y="29578"/>
                </a:lnTo>
                <a:lnTo>
                  <a:pt x="295833" y="29578"/>
                </a:lnTo>
                <a:lnTo>
                  <a:pt x="266255" y="29578"/>
                </a:lnTo>
                <a:lnTo>
                  <a:pt x="266255" y="0"/>
                </a:lnTo>
                <a:lnTo>
                  <a:pt x="236664" y="0"/>
                </a:lnTo>
                <a:lnTo>
                  <a:pt x="207086" y="0"/>
                </a:lnTo>
                <a:lnTo>
                  <a:pt x="207086" y="88747"/>
                </a:lnTo>
                <a:lnTo>
                  <a:pt x="236664" y="88747"/>
                </a:lnTo>
                <a:lnTo>
                  <a:pt x="266255" y="88747"/>
                </a:lnTo>
                <a:lnTo>
                  <a:pt x="266255" y="118325"/>
                </a:lnTo>
                <a:lnTo>
                  <a:pt x="236664" y="118325"/>
                </a:lnTo>
                <a:lnTo>
                  <a:pt x="236664" y="147916"/>
                </a:lnTo>
                <a:lnTo>
                  <a:pt x="207086" y="147916"/>
                </a:lnTo>
                <a:lnTo>
                  <a:pt x="207086" y="177495"/>
                </a:lnTo>
                <a:lnTo>
                  <a:pt x="236664" y="177495"/>
                </a:lnTo>
                <a:lnTo>
                  <a:pt x="266255" y="177495"/>
                </a:lnTo>
                <a:lnTo>
                  <a:pt x="266255" y="147916"/>
                </a:lnTo>
                <a:lnTo>
                  <a:pt x="295833" y="147916"/>
                </a:lnTo>
                <a:lnTo>
                  <a:pt x="295833" y="59156"/>
                </a:lnTo>
                <a:lnTo>
                  <a:pt x="325424" y="59156"/>
                </a:lnTo>
                <a:lnTo>
                  <a:pt x="325424" y="118325"/>
                </a:lnTo>
                <a:lnTo>
                  <a:pt x="355003" y="118325"/>
                </a:lnTo>
                <a:lnTo>
                  <a:pt x="355003" y="147916"/>
                </a:lnTo>
                <a:lnTo>
                  <a:pt x="325424" y="147916"/>
                </a:lnTo>
                <a:lnTo>
                  <a:pt x="325424" y="177495"/>
                </a:lnTo>
                <a:lnTo>
                  <a:pt x="355003" y="177495"/>
                </a:lnTo>
                <a:lnTo>
                  <a:pt x="384594" y="177495"/>
                </a:lnTo>
                <a:lnTo>
                  <a:pt x="414172" y="177495"/>
                </a:lnTo>
                <a:lnTo>
                  <a:pt x="414172" y="147916"/>
                </a:lnTo>
                <a:lnTo>
                  <a:pt x="384594" y="147916"/>
                </a:lnTo>
                <a:lnTo>
                  <a:pt x="384594" y="118325"/>
                </a:lnTo>
                <a:lnTo>
                  <a:pt x="414172" y="118325"/>
                </a:lnTo>
                <a:lnTo>
                  <a:pt x="414172" y="59156"/>
                </a:lnTo>
                <a:lnTo>
                  <a:pt x="443750" y="59156"/>
                </a:lnTo>
                <a:lnTo>
                  <a:pt x="443750" y="29578"/>
                </a:lnTo>
                <a:close/>
              </a:path>
              <a:path w="917575" h="177800">
                <a:moveTo>
                  <a:pt x="473341" y="88747"/>
                </a:moveTo>
                <a:lnTo>
                  <a:pt x="443750" y="88747"/>
                </a:lnTo>
                <a:lnTo>
                  <a:pt x="443750" y="118325"/>
                </a:lnTo>
                <a:lnTo>
                  <a:pt x="473341" y="118325"/>
                </a:lnTo>
                <a:lnTo>
                  <a:pt x="473341" y="88747"/>
                </a:lnTo>
                <a:close/>
              </a:path>
              <a:path w="917575" h="177800">
                <a:moveTo>
                  <a:pt x="502920" y="29578"/>
                </a:moveTo>
                <a:lnTo>
                  <a:pt x="473341" y="29578"/>
                </a:lnTo>
                <a:lnTo>
                  <a:pt x="473341" y="88747"/>
                </a:lnTo>
                <a:lnTo>
                  <a:pt x="502920" y="88747"/>
                </a:lnTo>
                <a:lnTo>
                  <a:pt x="502920" y="29578"/>
                </a:lnTo>
                <a:close/>
              </a:path>
              <a:path w="917575" h="177800">
                <a:moveTo>
                  <a:pt x="532511" y="88747"/>
                </a:moveTo>
                <a:lnTo>
                  <a:pt x="502920" y="88747"/>
                </a:lnTo>
                <a:lnTo>
                  <a:pt x="502920" y="118325"/>
                </a:lnTo>
                <a:lnTo>
                  <a:pt x="532511" y="118325"/>
                </a:lnTo>
                <a:lnTo>
                  <a:pt x="532511" y="88747"/>
                </a:lnTo>
                <a:close/>
              </a:path>
              <a:path w="917575" h="177800">
                <a:moveTo>
                  <a:pt x="562089" y="147916"/>
                </a:moveTo>
                <a:lnTo>
                  <a:pt x="532511" y="147916"/>
                </a:lnTo>
                <a:lnTo>
                  <a:pt x="502920" y="147916"/>
                </a:lnTo>
                <a:lnTo>
                  <a:pt x="502920" y="118325"/>
                </a:lnTo>
                <a:lnTo>
                  <a:pt x="473341" y="118325"/>
                </a:lnTo>
                <a:lnTo>
                  <a:pt x="473341" y="147916"/>
                </a:lnTo>
                <a:lnTo>
                  <a:pt x="443750" y="147916"/>
                </a:lnTo>
                <a:lnTo>
                  <a:pt x="443750" y="177495"/>
                </a:lnTo>
                <a:lnTo>
                  <a:pt x="473341" y="177495"/>
                </a:lnTo>
                <a:lnTo>
                  <a:pt x="502920" y="177495"/>
                </a:lnTo>
                <a:lnTo>
                  <a:pt x="532511" y="177495"/>
                </a:lnTo>
                <a:lnTo>
                  <a:pt x="562089" y="177495"/>
                </a:lnTo>
                <a:lnTo>
                  <a:pt x="562089" y="147916"/>
                </a:lnTo>
                <a:close/>
              </a:path>
              <a:path w="917575" h="177800">
                <a:moveTo>
                  <a:pt x="562089" y="0"/>
                </a:moveTo>
                <a:lnTo>
                  <a:pt x="532511" y="0"/>
                </a:lnTo>
                <a:lnTo>
                  <a:pt x="502920" y="0"/>
                </a:lnTo>
                <a:lnTo>
                  <a:pt x="502920" y="29578"/>
                </a:lnTo>
                <a:lnTo>
                  <a:pt x="532511" y="29578"/>
                </a:lnTo>
                <a:lnTo>
                  <a:pt x="562089" y="29578"/>
                </a:lnTo>
                <a:lnTo>
                  <a:pt x="562089" y="0"/>
                </a:lnTo>
                <a:close/>
              </a:path>
              <a:path w="917575" h="177800">
                <a:moveTo>
                  <a:pt x="591680" y="0"/>
                </a:moveTo>
                <a:lnTo>
                  <a:pt x="562102" y="0"/>
                </a:lnTo>
                <a:lnTo>
                  <a:pt x="562102" y="118325"/>
                </a:lnTo>
                <a:lnTo>
                  <a:pt x="591680" y="118325"/>
                </a:lnTo>
                <a:lnTo>
                  <a:pt x="591680" y="0"/>
                </a:lnTo>
                <a:close/>
              </a:path>
              <a:path w="917575" h="177800">
                <a:moveTo>
                  <a:pt x="828344" y="0"/>
                </a:moveTo>
                <a:lnTo>
                  <a:pt x="798766" y="0"/>
                </a:lnTo>
                <a:lnTo>
                  <a:pt x="769188" y="0"/>
                </a:lnTo>
                <a:lnTo>
                  <a:pt x="769188" y="29578"/>
                </a:lnTo>
                <a:lnTo>
                  <a:pt x="739597" y="29578"/>
                </a:lnTo>
                <a:lnTo>
                  <a:pt x="710018" y="29578"/>
                </a:lnTo>
                <a:lnTo>
                  <a:pt x="680427" y="29578"/>
                </a:lnTo>
                <a:lnTo>
                  <a:pt x="680427" y="0"/>
                </a:lnTo>
                <a:lnTo>
                  <a:pt x="650849" y="0"/>
                </a:lnTo>
                <a:lnTo>
                  <a:pt x="621258" y="0"/>
                </a:lnTo>
                <a:lnTo>
                  <a:pt x="621258" y="59156"/>
                </a:lnTo>
                <a:lnTo>
                  <a:pt x="650849" y="59156"/>
                </a:lnTo>
                <a:lnTo>
                  <a:pt x="650849" y="88747"/>
                </a:lnTo>
                <a:lnTo>
                  <a:pt x="680427" y="88747"/>
                </a:lnTo>
                <a:lnTo>
                  <a:pt x="680427" y="59156"/>
                </a:lnTo>
                <a:lnTo>
                  <a:pt x="710018" y="59156"/>
                </a:lnTo>
                <a:lnTo>
                  <a:pt x="739597" y="59156"/>
                </a:lnTo>
                <a:lnTo>
                  <a:pt x="739597" y="147916"/>
                </a:lnTo>
                <a:lnTo>
                  <a:pt x="710018" y="147916"/>
                </a:lnTo>
                <a:lnTo>
                  <a:pt x="710018" y="88747"/>
                </a:lnTo>
                <a:lnTo>
                  <a:pt x="680427" y="88747"/>
                </a:lnTo>
                <a:lnTo>
                  <a:pt x="680427" y="147916"/>
                </a:lnTo>
                <a:lnTo>
                  <a:pt x="650849" y="147916"/>
                </a:lnTo>
                <a:lnTo>
                  <a:pt x="621258" y="147916"/>
                </a:lnTo>
                <a:lnTo>
                  <a:pt x="621258" y="177495"/>
                </a:lnTo>
                <a:lnTo>
                  <a:pt x="650849" y="177495"/>
                </a:lnTo>
                <a:lnTo>
                  <a:pt x="680427" y="177495"/>
                </a:lnTo>
                <a:lnTo>
                  <a:pt x="710018" y="177495"/>
                </a:lnTo>
                <a:lnTo>
                  <a:pt x="739597" y="177495"/>
                </a:lnTo>
                <a:lnTo>
                  <a:pt x="769188" y="177495"/>
                </a:lnTo>
                <a:lnTo>
                  <a:pt x="798766" y="177495"/>
                </a:lnTo>
                <a:lnTo>
                  <a:pt x="798766" y="147916"/>
                </a:lnTo>
                <a:lnTo>
                  <a:pt x="828344" y="147916"/>
                </a:lnTo>
                <a:lnTo>
                  <a:pt x="828344" y="88747"/>
                </a:lnTo>
                <a:lnTo>
                  <a:pt x="798766" y="88747"/>
                </a:lnTo>
                <a:lnTo>
                  <a:pt x="798766" y="29578"/>
                </a:lnTo>
                <a:lnTo>
                  <a:pt x="828344" y="29578"/>
                </a:lnTo>
                <a:lnTo>
                  <a:pt x="828344" y="0"/>
                </a:lnTo>
                <a:close/>
              </a:path>
              <a:path w="917575" h="177800">
                <a:moveTo>
                  <a:pt x="917105" y="147916"/>
                </a:moveTo>
                <a:lnTo>
                  <a:pt x="887514" y="147916"/>
                </a:lnTo>
                <a:lnTo>
                  <a:pt x="887514" y="177495"/>
                </a:lnTo>
                <a:lnTo>
                  <a:pt x="917105" y="177495"/>
                </a:lnTo>
                <a:lnTo>
                  <a:pt x="917105" y="147916"/>
                </a:lnTo>
                <a:close/>
              </a:path>
              <a:path w="917575" h="177800">
                <a:moveTo>
                  <a:pt x="917105" y="0"/>
                </a:moveTo>
                <a:lnTo>
                  <a:pt x="887514" y="0"/>
                </a:lnTo>
                <a:lnTo>
                  <a:pt x="857935" y="0"/>
                </a:lnTo>
                <a:lnTo>
                  <a:pt x="857935" y="59156"/>
                </a:lnTo>
                <a:lnTo>
                  <a:pt x="887514" y="59156"/>
                </a:lnTo>
                <a:lnTo>
                  <a:pt x="887514" y="88747"/>
                </a:lnTo>
                <a:lnTo>
                  <a:pt x="857935" y="88747"/>
                </a:lnTo>
                <a:lnTo>
                  <a:pt x="857935" y="118325"/>
                </a:lnTo>
                <a:lnTo>
                  <a:pt x="887514" y="118325"/>
                </a:lnTo>
                <a:lnTo>
                  <a:pt x="917105" y="118325"/>
                </a:lnTo>
                <a:lnTo>
                  <a:pt x="917105" y="0"/>
                </a:lnTo>
                <a:close/>
              </a:path>
            </a:pathLst>
          </a:custGeom>
          <a:solidFill>
            <a:srgbClr val="676767"/>
          </a:solidFill>
        </xdr:spPr>
        <xdr:txBody>
          <a:bodyPr wrap="square" lIns="0" tIns="0" rIns="0" bIns="0" rtlCol="0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/>
          </a:p>
        </xdr:txBody>
      </xdr:sp>
    </xdr:grpSp>
    <xdr:clientData/>
  </xdr:twoCellAnchor>
  <xdr:twoCellAnchor editAs="oneCell">
    <xdr:from>
      <xdr:col>1</xdr:col>
      <xdr:colOff>143171</xdr:colOff>
      <xdr:row>1</xdr:row>
      <xdr:rowOff>4141</xdr:rowOff>
    </xdr:from>
    <xdr:to>
      <xdr:col>3</xdr:col>
      <xdr:colOff>425033</xdr:colOff>
      <xdr:row>3</xdr:row>
      <xdr:rowOff>133010</xdr:rowOff>
    </xdr:to>
    <xdr:pic>
      <xdr:nvPicPr>
        <xdr:cNvPr id="54" name="object 7">
          <a:extLst>
            <a:ext uri="{FF2B5EF4-FFF2-40B4-BE49-F238E27FC236}">
              <a16:creationId xmlns:a16="http://schemas.microsoft.com/office/drawing/2014/main" id="{5F0E2419-F8FB-4D6B-9BED-09396F6D2028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655064" y="167427"/>
          <a:ext cx="1506505" cy="686762"/>
        </a:xfrm>
        <a:prstGeom prst="rect">
          <a:avLst/>
        </a:prstGeom>
      </xdr:spPr>
    </xdr:pic>
    <xdr:clientData/>
  </xdr:twoCellAnchor>
  <xdr:twoCellAnchor>
    <xdr:from>
      <xdr:col>0</xdr:col>
      <xdr:colOff>13436146</xdr:colOff>
      <xdr:row>0</xdr:row>
      <xdr:rowOff>1</xdr:rowOff>
    </xdr:from>
    <xdr:to>
      <xdr:col>4</xdr:col>
      <xdr:colOff>441496</xdr:colOff>
      <xdr:row>8</xdr:row>
      <xdr:rowOff>138798</xdr:rowOff>
    </xdr:to>
    <xdr:sp macro="" textlink="">
      <xdr:nvSpPr>
        <xdr:cNvPr id="55" name="object 5">
          <a:extLst>
            <a:ext uri="{FF2B5EF4-FFF2-40B4-BE49-F238E27FC236}">
              <a16:creationId xmlns:a16="http://schemas.microsoft.com/office/drawing/2014/main" id="{815A0245-AEF2-456C-9337-CB99FD6E47CE}"/>
            </a:ext>
          </a:extLst>
        </xdr:cNvPr>
        <xdr:cNvSpPr txBox="1">
          <a:spLocks noGrp="1"/>
        </xdr:cNvSpPr>
      </xdr:nvSpPr>
      <xdr:spPr>
        <a:xfrm>
          <a:off x="13436146" y="1"/>
          <a:ext cx="2353024" cy="2126623"/>
        </a:xfrm>
        <a:prstGeom prst="rect">
          <a:avLst/>
        </a:prstGeom>
      </xdr:spPr>
      <xdr:txBody>
        <a:bodyPr vert="horz" wrap="square" lIns="0" tIns="0" rIns="0" bIns="0" rtlCol="0">
          <a:noAutofit/>
        </a:bodyPr>
        <a:lstStyle>
          <a:lvl1pPr>
            <a:defRPr sz="3000" b="0" i="0">
              <a:solidFill>
                <a:schemeClr val="tx1"/>
              </a:solidFill>
              <a:latin typeface="Trebuchet MS"/>
              <a:ea typeface="+mj-ea"/>
              <a:cs typeface="Trebuchet MS"/>
            </a:defRPr>
          </a:lvl1pPr>
        </a:lstStyle>
        <a:p>
          <a:pPr>
            <a:lnSpc>
              <a:spcPct val="100000"/>
            </a:lnSpc>
          </a:pPr>
          <a:endParaRPr sz="2600">
            <a:latin typeface="Times New Roman"/>
            <a:cs typeface="Times New Roman"/>
          </a:endParaRPr>
        </a:p>
        <a:p>
          <a:pPr>
            <a:lnSpc>
              <a:spcPct val="100000"/>
            </a:lnSpc>
          </a:pPr>
          <a:endParaRPr sz="2600">
            <a:latin typeface="Times New Roman"/>
            <a:cs typeface="Times New Roman"/>
          </a:endParaRPr>
        </a:p>
        <a:p>
          <a:pPr>
            <a:lnSpc>
              <a:spcPct val="100000"/>
            </a:lnSpc>
            <a:spcBef>
              <a:spcPts val="15"/>
            </a:spcBef>
          </a:pPr>
          <a:endParaRPr sz="3450">
            <a:latin typeface="Times New Roman"/>
            <a:cs typeface="Times New Roman"/>
          </a:endParaRPr>
        </a:p>
        <a:p>
          <a:pPr marL="196215" marR="293370">
            <a:lnSpc>
              <a:spcPts val="2070"/>
            </a:lnSpc>
          </a:pPr>
          <a:r>
            <a:rPr sz="1850" b="0" spc="-81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Соединяем </a:t>
          </a:r>
          <a:r>
            <a:rPr sz="1850" b="0" spc="-51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 </a:t>
          </a:r>
          <a:r>
            <a:rPr sz="1850" b="0" spc="-640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л</a:t>
          </a:r>
          <a:r>
            <a:rPr sz="1850" b="0" spc="-67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ю</a:t>
          </a:r>
          <a:r>
            <a:rPr sz="1850" b="0" spc="-62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дей,</a:t>
          </a:r>
          <a:r>
            <a:rPr sz="1850" b="0" spc="-190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 </a:t>
          </a:r>
          <a:r>
            <a:rPr sz="1850" b="0" spc="-120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г</a:t>
          </a:r>
          <a:r>
            <a:rPr sz="1850" b="0" spc="-800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ор</a:t>
          </a:r>
          <a:r>
            <a:rPr sz="1850" b="0" spc="-83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о</a:t>
          </a:r>
          <a:r>
            <a:rPr sz="1850" b="0" spc="-590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да  </a:t>
          </a:r>
          <a:r>
            <a:rPr sz="1850" b="0" spc="-79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и</a:t>
          </a:r>
          <a:r>
            <a:rPr sz="1850" b="0" spc="-110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 </a:t>
          </a:r>
          <a:r>
            <a:rPr sz="1850" b="0" spc="-725">
              <a:solidFill>
                <a:srgbClr val="FFFFFF"/>
              </a:solidFill>
              <a:latin typeface="Yu Gothic Light"/>
              <a:cs typeface="Tahoma" panose="020B0604030504040204" pitchFamily="34" charset="0"/>
            </a:rPr>
            <a:t>энергию</a:t>
          </a:r>
          <a:endParaRPr sz="1850">
            <a:latin typeface="Yu Gothic Light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8198307</xdr:colOff>
      <xdr:row>67</xdr:row>
      <xdr:rowOff>156481</xdr:rowOff>
    </xdr:from>
    <xdr:to>
      <xdr:col>0</xdr:col>
      <xdr:colOff>10082896</xdr:colOff>
      <xdr:row>74</xdr:row>
      <xdr:rowOff>34017</xdr:rowOff>
    </xdr:to>
    <xdr:sp macro="" textlink="">
      <xdr:nvSpPr>
        <xdr:cNvPr id="57" name="Стрелка: вниз 5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7F835D3-2287-40EF-8356-601576C66B18}"/>
            </a:ext>
          </a:extLst>
        </xdr:cNvPr>
        <xdr:cNvSpPr/>
      </xdr:nvSpPr>
      <xdr:spPr>
        <a:xfrm rot="16200000">
          <a:off x="8630334" y="13426847"/>
          <a:ext cx="102053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8191503</xdr:colOff>
      <xdr:row>88</xdr:row>
      <xdr:rowOff>40822</xdr:rowOff>
    </xdr:from>
    <xdr:to>
      <xdr:col>0</xdr:col>
      <xdr:colOff>10076092</xdr:colOff>
      <xdr:row>94</xdr:row>
      <xdr:rowOff>81644</xdr:rowOff>
    </xdr:to>
    <xdr:sp macro="" textlink="">
      <xdr:nvSpPr>
        <xdr:cNvPr id="58" name="Стрелка: вниз 5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B8719FB-DF57-41C7-934B-D9492C5B4276}"/>
            </a:ext>
          </a:extLst>
        </xdr:cNvPr>
        <xdr:cNvSpPr/>
      </xdr:nvSpPr>
      <xdr:spPr>
        <a:xfrm rot="16200000">
          <a:off x="8623530" y="19720152"/>
          <a:ext cx="102053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8205112</xdr:colOff>
      <xdr:row>117</xdr:row>
      <xdr:rowOff>136071</xdr:rowOff>
    </xdr:from>
    <xdr:to>
      <xdr:col>0</xdr:col>
      <xdr:colOff>10089701</xdr:colOff>
      <xdr:row>123</xdr:row>
      <xdr:rowOff>108857</xdr:rowOff>
    </xdr:to>
    <xdr:sp macro="" textlink="">
      <xdr:nvSpPr>
        <xdr:cNvPr id="59" name="Стрелка: вниз 5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8321E8E-8F1D-48B6-B8C8-F5D9A68DFEE4}"/>
            </a:ext>
          </a:extLst>
        </xdr:cNvPr>
        <xdr:cNvSpPr/>
      </xdr:nvSpPr>
      <xdr:spPr>
        <a:xfrm rot="16200000">
          <a:off x="8637139" y="25040544"/>
          <a:ext cx="102053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8194227</xdr:colOff>
      <xdr:row>141</xdr:row>
      <xdr:rowOff>152403</xdr:rowOff>
    </xdr:from>
    <xdr:to>
      <xdr:col>0</xdr:col>
      <xdr:colOff>10078816</xdr:colOff>
      <xdr:row>148</xdr:row>
      <xdr:rowOff>29939</xdr:rowOff>
    </xdr:to>
    <xdr:sp macro="" textlink="">
      <xdr:nvSpPr>
        <xdr:cNvPr id="60" name="Стрелка: вниз 5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2D012DC-0710-4A63-AD68-B08054E9796B}"/>
            </a:ext>
          </a:extLst>
        </xdr:cNvPr>
        <xdr:cNvSpPr/>
      </xdr:nvSpPr>
      <xdr:spPr>
        <a:xfrm rot="16200000">
          <a:off x="8626254" y="29193447"/>
          <a:ext cx="102053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8191507</xdr:colOff>
      <xdr:row>168</xdr:row>
      <xdr:rowOff>27214</xdr:rowOff>
    </xdr:from>
    <xdr:to>
      <xdr:col>0</xdr:col>
      <xdr:colOff>10076096</xdr:colOff>
      <xdr:row>174</xdr:row>
      <xdr:rowOff>68036</xdr:rowOff>
    </xdr:to>
    <xdr:sp macro="" textlink="">
      <xdr:nvSpPr>
        <xdr:cNvPr id="61" name="Стрелка: вниз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A7A42EB-97E4-47EC-8608-6D5BE5BDEE2D}"/>
            </a:ext>
          </a:extLst>
        </xdr:cNvPr>
        <xdr:cNvSpPr/>
      </xdr:nvSpPr>
      <xdr:spPr>
        <a:xfrm rot="16200000">
          <a:off x="8623534" y="33749116"/>
          <a:ext cx="102053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8205112</xdr:colOff>
      <xdr:row>192</xdr:row>
      <xdr:rowOff>20010</xdr:rowOff>
    </xdr:from>
    <xdr:to>
      <xdr:col>0</xdr:col>
      <xdr:colOff>10089701</xdr:colOff>
      <xdr:row>198</xdr:row>
      <xdr:rowOff>60832</xdr:rowOff>
    </xdr:to>
    <xdr:sp macro="" textlink="">
      <xdr:nvSpPr>
        <xdr:cNvPr id="63" name="Стрелка: вниз 6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2FB9A81-E379-410E-8718-5B2162C177F7}"/>
            </a:ext>
          </a:extLst>
        </xdr:cNvPr>
        <xdr:cNvSpPr/>
      </xdr:nvSpPr>
      <xdr:spPr>
        <a:xfrm rot="16200000">
          <a:off x="8637139" y="37932912"/>
          <a:ext cx="102053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27214</xdr:colOff>
      <xdr:row>0</xdr:row>
      <xdr:rowOff>13607</xdr:rowOff>
    </xdr:from>
    <xdr:to>
      <xdr:col>5</xdr:col>
      <xdr:colOff>63953</xdr:colOff>
      <xdr:row>23</xdr:row>
      <xdr:rowOff>299357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FDE68D4-DF41-4E2F-85CE-65E1927D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107" y="13607"/>
          <a:ext cx="2486025" cy="713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173492</xdr:colOff>
      <xdr:row>30</xdr:row>
      <xdr:rowOff>54428</xdr:rowOff>
    </xdr:from>
    <xdr:to>
      <xdr:col>0</xdr:col>
      <xdr:colOff>5781476</xdr:colOff>
      <xdr:row>33</xdr:row>
      <xdr:rowOff>150197</xdr:rowOff>
    </xdr:to>
    <xdr:pic>
      <xdr:nvPicPr>
        <xdr:cNvPr id="65" name="Picture 21" descr="Сх_1тр">
          <a:extLst>
            <a:ext uri="{FF2B5EF4-FFF2-40B4-BE49-F238E27FC236}">
              <a16:creationId xmlns:a16="http://schemas.microsoft.com/office/drawing/2014/main" id="{F83E937E-708E-4930-9DA6-E6974E8D5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2" y="8722178"/>
          <a:ext cx="5607984" cy="653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8209713</xdr:colOff>
      <xdr:row>30</xdr:row>
      <xdr:rowOff>32816</xdr:rowOff>
    </xdr:from>
    <xdr:to>
      <xdr:col>0</xdr:col>
      <xdr:colOff>10094302</xdr:colOff>
      <xdr:row>35</xdr:row>
      <xdr:rowOff>159883</xdr:rowOff>
    </xdr:to>
    <xdr:sp macro="" textlink="">
      <xdr:nvSpPr>
        <xdr:cNvPr id="66" name="Стрелка: вниз 6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5C35E15-94E6-485A-869D-D6F2AE1267FD}"/>
            </a:ext>
          </a:extLst>
        </xdr:cNvPr>
        <xdr:cNvSpPr/>
      </xdr:nvSpPr>
      <xdr:spPr>
        <a:xfrm rot="16200000">
          <a:off x="8646242" y="8264037"/>
          <a:ext cx="1011531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45</xdr:row>
      <xdr:rowOff>40822</xdr:rowOff>
    </xdr:from>
    <xdr:to>
      <xdr:col>0</xdr:col>
      <xdr:colOff>6093759</xdr:colOff>
      <xdr:row>51</xdr:row>
      <xdr:rowOff>213633</xdr:rowOff>
    </xdr:to>
    <xdr:pic>
      <xdr:nvPicPr>
        <xdr:cNvPr id="67" name="Picture 1" descr="Сх1">
          <a:extLst>
            <a:ext uri="{FF2B5EF4-FFF2-40B4-BE49-F238E27FC236}">
              <a16:creationId xmlns:a16="http://schemas.microsoft.com/office/drawing/2014/main" id="{9A324B57-D39A-4690-8BA0-D8AC41858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702143"/>
          <a:ext cx="5903259" cy="1642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8216154</xdr:colOff>
      <xdr:row>46</xdr:row>
      <xdr:rowOff>97172</xdr:rowOff>
    </xdr:from>
    <xdr:to>
      <xdr:col>0</xdr:col>
      <xdr:colOff>10100743</xdr:colOff>
      <xdr:row>50</xdr:row>
      <xdr:rowOff>137995</xdr:rowOff>
    </xdr:to>
    <xdr:sp macro="" textlink="">
      <xdr:nvSpPr>
        <xdr:cNvPr id="68" name="Стрелка: вниз 6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C7B1769-0BD4-4171-8DEF-32062DD621D8}"/>
            </a:ext>
          </a:extLst>
        </xdr:cNvPr>
        <xdr:cNvSpPr/>
      </xdr:nvSpPr>
      <xdr:spPr>
        <a:xfrm rot="16200000">
          <a:off x="8648180" y="11516967"/>
          <a:ext cx="1020538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ПОДБОРУ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363630</xdr:colOff>
      <xdr:row>12</xdr:row>
      <xdr:rowOff>206898</xdr:rowOff>
    </xdr:from>
    <xdr:to>
      <xdr:col>4</xdr:col>
      <xdr:colOff>795618</xdr:colOff>
      <xdr:row>17</xdr:row>
      <xdr:rowOff>9523</xdr:rowOff>
    </xdr:to>
    <xdr:grpSp>
      <xdr:nvGrpSpPr>
        <xdr:cNvPr id="117488" name="Группа 2">
          <a:extLst>
            <a:ext uri="{FF2B5EF4-FFF2-40B4-BE49-F238E27FC236}">
              <a16:creationId xmlns:a16="http://schemas.microsoft.com/office/drawing/2014/main" id="{00000000-0008-0000-0800-0000F0CA0100}"/>
            </a:ext>
          </a:extLst>
        </xdr:cNvPr>
        <xdr:cNvGrpSpPr>
          <a:grpSpLocks/>
        </xdr:cNvGrpSpPr>
      </xdr:nvGrpSpPr>
      <xdr:grpSpPr bwMode="auto">
        <a:xfrm>
          <a:off x="2233411" y="2806663"/>
          <a:ext cx="5695552" cy="948826"/>
          <a:chOff x="950404" y="2903752"/>
          <a:chExt cx="5743310" cy="961785"/>
        </a:xfrm>
      </xdr:grpSpPr>
      <xdr:pic>
        <xdr:nvPicPr>
          <xdr:cNvPr id="117489" name="Рисунок 1">
            <a:extLst>
              <a:ext uri="{FF2B5EF4-FFF2-40B4-BE49-F238E27FC236}">
                <a16:creationId xmlns:a16="http://schemas.microsoft.com/office/drawing/2014/main" id="{00000000-0008-0000-0800-0000F1CA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2050" y="3058085"/>
            <a:ext cx="5531664" cy="8074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E$36">
        <xdr:nvSpPr>
          <xdr:cNvPr id="14338" name="Text Box 2">
            <a:extLst>
              <a:ext uri="{FF2B5EF4-FFF2-40B4-BE49-F238E27FC236}">
                <a16:creationId xmlns:a16="http://schemas.microsoft.com/office/drawing/2014/main" id="{00000000-0008-0000-0800-00000238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3546958" y="2903752"/>
            <a:ext cx="2036702" cy="2283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91D37AD0-4AA7-4168-BB37-CDF109FC2017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ПРЭМ-25-D-Cэндвич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2">
        <xdr:nvSpPr>
          <xdr:cNvPr id="14340" name="Text Box 4">
            <a:extLst>
              <a:ext uri="{FF2B5EF4-FFF2-40B4-BE49-F238E27FC236}">
                <a16:creationId xmlns:a16="http://schemas.microsoft.com/office/drawing/2014/main" id="{00000000-0008-0000-0800-00000438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950404" y="2932815"/>
            <a:ext cx="1023178" cy="2283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8DF0FBFA-5A4A-41ED-BC96-EAF6D49BE22E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DN65</a:t>
            </a:fld>
            <a:endParaRPr lang="ru-RU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5</xdr:col>
      <xdr:colOff>750794</xdr:colOff>
      <xdr:row>2</xdr:row>
      <xdr:rowOff>67236</xdr:rowOff>
    </xdr:from>
    <xdr:to>
      <xdr:col>6</xdr:col>
      <xdr:colOff>954501</xdr:colOff>
      <xdr:row>6</xdr:row>
      <xdr:rowOff>152882</xdr:rowOff>
    </xdr:to>
    <xdr:sp macro="" textlink="">
      <xdr:nvSpPr>
        <xdr:cNvPr id="6" name="Стрелка: вниз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623203-7203-456E-AB15-FE17330949C4}"/>
            </a:ext>
          </a:extLst>
        </xdr:cNvPr>
        <xdr:cNvSpPr/>
      </xdr:nvSpPr>
      <xdr:spPr>
        <a:xfrm rot="16200000">
          <a:off x="9303884" y="8205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266700</xdr:colOff>
      <xdr:row>9</xdr:row>
      <xdr:rowOff>110113</xdr:rowOff>
    </xdr:from>
    <xdr:to>
      <xdr:col>4</xdr:col>
      <xdr:colOff>843148</xdr:colOff>
      <xdr:row>19</xdr:row>
      <xdr:rowOff>123361</xdr:rowOff>
    </xdr:to>
    <xdr:grpSp>
      <xdr:nvGrpSpPr>
        <xdr:cNvPr id="126206" name="Группа 2">
          <a:extLst>
            <a:ext uri="{FF2B5EF4-FFF2-40B4-BE49-F238E27FC236}">
              <a16:creationId xmlns:a16="http://schemas.microsoft.com/office/drawing/2014/main" id="{00000000-0008-0000-0100-0000FEEC0100}"/>
            </a:ext>
          </a:extLst>
        </xdr:cNvPr>
        <xdr:cNvGrpSpPr>
          <a:grpSpLocks/>
        </xdr:cNvGrpSpPr>
      </xdr:nvGrpSpPr>
      <xdr:grpSpPr bwMode="auto">
        <a:xfrm>
          <a:off x="2136481" y="2184802"/>
          <a:ext cx="6550785" cy="2318458"/>
          <a:chOff x="133610" y="1823217"/>
          <a:chExt cx="6991368" cy="2567356"/>
        </a:xfrm>
      </xdr:grpSpPr>
      <xdr:pic>
        <xdr:nvPicPr>
          <xdr:cNvPr id="126207" name="Рисунок 1">
            <a:extLst>
              <a:ext uri="{FF2B5EF4-FFF2-40B4-BE49-F238E27FC236}">
                <a16:creationId xmlns:a16="http://schemas.microsoft.com/office/drawing/2014/main" id="{00000000-0008-0000-0100-0000FFEC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060" y="2166256"/>
            <a:ext cx="6475918" cy="19547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36">
        <xdr:nvSpPr>
          <xdr:cNvPr id="1026" name="Text Box 2">
            <a:extLst>
              <a:ext uri="{FF2B5EF4-FFF2-40B4-BE49-F238E27FC236}">
                <a16:creationId xmlns:a16="http://schemas.microsoft.com/office/drawing/2014/main" id="{00000000-0008-0000-0100-0000020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3097693" y="1823217"/>
            <a:ext cx="2298238" cy="2877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22860" anchor="ctr" upright="1">
            <a:spAutoFit/>
          </a:bodyPr>
          <a:lstStyle/>
          <a:p>
            <a:pPr marL="0" indent="0" algn="l" rtl="0">
              <a:defRPr sz="1000"/>
            </a:pPr>
            <a:fld id="{5FE641EA-D6EC-44A6-988E-BDA79C5D120D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ПРЭМ-40-D-Сэндвич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E$36">
        <xdr:nvSpPr>
          <xdr:cNvPr id="1287" name="Text Box 263">
            <a:extLst>
              <a:ext uri="{FF2B5EF4-FFF2-40B4-BE49-F238E27FC236}">
                <a16:creationId xmlns:a16="http://schemas.microsoft.com/office/drawing/2014/main" id="{00000000-0008-0000-0100-00000705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3151389" y="4070005"/>
            <a:ext cx="2400531" cy="2877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22860" anchor="ctr" upright="1">
            <a:spAutoFit/>
          </a:bodyPr>
          <a:lstStyle/>
          <a:p>
            <a:pPr marL="0" indent="0" algn="l" rtl="0">
              <a:defRPr sz="1000"/>
            </a:pPr>
            <a:fld id="{62975814-088F-4E30-B940-405CB3BF6DA3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ПРЭМ-40-D-Cэндвич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D$62">
        <xdr:nvSpPr>
          <xdr:cNvPr id="1289" name="Text Box 265">
            <a:extLst>
              <a:ext uri="{FF2B5EF4-FFF2-40B4-BE49-F238E27FC236}">
                <a16:creationId xmlns:a16="http://schemas.microsoft.com/office/drawing/2014/main" id="{00000000-0008-0000-0100-00000905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30264" y="1826615"/>
            <a:ext cx="1396126" cy="30215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22860" anchor="ctr" upright="1">
            <a:spAutoFit/>
          </a:bodyPr>
          <a:lstStyle/>
          <a:p>
            <a:pPr algn="ctr" rtl="0">
              <a:defRPr sz="1000"/>
            </a:pPr>
            <a:fld id="{559B428E-EE8D-4B70-806E-E446C59D5BEA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2">
        <xdr:nvSpPr>
          <xdr:cNvPr id="1292" name="Text Box 268">
            <a:extLst>
              <a:ext uri="{FF2B5EF4-FFF2-40B4-BE49-F238E27FC236}">
                <a16:creationId xmlns:a16="http://schemas.microsoft.com/office/drawing/2014/main" id="{00000000-0008-0000-0100-00000C05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33610" y="4102872"/>
            <a:ext cx="1439083" cy="28770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36576" bIns="22860" anchor="ctr" upright="1">
            <a:spAutoFit/>
          </a:bodyPr>
          <a:lstStyle/>
          <a:p>
            <a:pPr marL="0" indent="0" algn="ctr" rtl="0">
              <a:defRPr sz="1000"/>
            </a:pPr>
            <a:fld id="{7D005992-A549-4B6C-B750-4B7726B059F6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Тр2 DN50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649942</xdr:colOff>
      <xdr:row>2</xdr:row>
      <xdr:rowOff>56027</xdr:rowOff>
    </xdr:from>
    <xdr:to>
      <xdr:col>7</xdr:col>
      <xdr:colOff>618325</xdr:colOff>
      <xdr:row>6</xdr:row>
      <xdr:rowOff>141672</xdr:rowOff>
    </xdr:to>
    <xdr:sp macro="" textlink="">
      <xdr:nvSpPr>
        <xdr:cNvPr id="8" name="Стрелка: вниз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86CDF-A505-4025-9E13-B9B02AD9B24A}"/>
            </a:ext>
          </a:extLst>
        </xdr:cNvPr>
        <xdr:cNvSpPr/>
      </xdr:nvSpPr>
      <xdr:spPr>
        <a:xfrm rot="16200000">
          <a:off x="9729708" y="53025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635454</xdr:colOff>
      <xdr:row>7</xdr:row>
      <xdr:rowOff>163287</xdr:rowOff>
    </xdr:from>
    <xdr:to>
      <xdr:col>4</xdr:col>
      <xdr:colOff>1009650</xdr:colOff>
      <xdr:row>22</xdr:row>
      <xdr:rowOff>133350</xdr:rowOff>
    </xdr:to>
    <xdr:grpSp>
      <xdr:nvGrpSpPr>
        <xdr:cNvPr id="122330" name="Группа 3">
          <a:extLst>
            <a:ext uri="{FF2B5EF4-FFF2-40B4-BE49-F238E27FC236}">
              <a16:creationId xmlns:a16="http://schemas.microsoft.com/office/drawing/2014/main" id="{00000000-0008-0000-0200-0000DADD0100}"/>
            </a:ext>
          </a:extLst>
        </xdr:cNvPr>
        <xdr:cNvGrpSpPr>
          <a:grpSpLocks/>
        </xdr:cNvGrpSpPr>
      </xdr:nvGrpSpPr>
      <xdr:grpSpPr bwMode="auto">
        <a:xfrm>
          <a:off x="1250176" y="1776934"/>
          <a:ext cx="7603592" cy="3427878"/>
          <a:chOff x="633656" y="1693682"/>
          <a:chExt cx="7181205" cy="3402787"/>
        </a:xfrm>
      </xdr:grpSpPr>
      <xdr:pic>
        <xdr:nvPicPr>
          <xdr:cNvPr id="122331" name="Рисунок 1">
            <a:extLst>
              <a:ext uri="{FF2B5EF4-FFF2-40B4-BE49-F238E27FC236}">
                <a16:creationId xmlns:a16="http://schemas.microsoft.com/office/drawing/2014/main" id="{00000000-0008-0000-0200-0000DBDD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3025" y="2111828"/>
            <a:ext cx="6471836" cy="2706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37">
        <xdr:nvSpPr>
          <xdr:cNvPr id="8235" name="Text Box 43">
            <a:extLst>
              <a:ext uri="{FF2B5EF4-FFF2-40B4-BE49-F238E27FC236}">
                <a16:creationId xmlns:a16="http://schemas.microsoft.com/office/drawing/2014/main" id="{00000000-0008-0000-0200-00002B2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925103" y="2417931"/>
            <a:ext cx="1878612" cy="39296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noAutofit/>
          </a:bodyPr>
          <a:lstStyle/>
          <a:p>
            <a:pPr marL="0" indent="0" algn="l" rtl="0">
              <a:defRPr sz="1000"/>
            </a:pPr>
            <a:fld id="{E827BCF1-F00F-434C-9FB6-49C69AB9EB7A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ПРЭМ-32-D-Cэндвич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E$37">
        <xdr:nvSpPr>
          <xdr:cNvPr id="8236" name="Text Box 44">
            <a:extLst>
              <a:ext uri="{FF2B5EF4-FFF2-40B4-BE49-F238E27FC236}">
                <a16:creationId xmlns:a16="http://schemas.microsoft.com/office/drawing/2014/main" id="{00000000-0008-0000-0200-00002C2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580251" y="4839101"/>
            <a:ext cx="2027222" cy="2573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0" rIns="36576" bIns="0" anchor="ctr" upright="1">
            <a:noAutofit/>
          </a:bodyPr>
          <a:lstStyle/>
          <a:p>
            <a:pPr marL="0" indent="0" algn="l" rtl="0">
              <a:defRPr sz="1000"/>
            </a:pPr>
            <a:fld id="{9453CA29-F5B1-451A-9959-84F2F7206620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ПРЭМ-32-D-Cэндвич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D$63">
        <xdr:nvSpPr>
          <xdr:cNvPr id="8237" name="Text Box 45">
            <a:extLst>
              <a:ext uri="{FF2B5EF4-FFF2-40B4-BE49-F238E27FC236}">
                <a16:creationId xmlns:a16="http://schemas.microsoft.com/office/drawing/2014/main" id="{00000000-0008-0000-0200-00002D2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652691" y="2756639"/>
            <a:ext cx="1008852" cy="2192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0" rIns="36576" bIns="0" anchor="ctr" upright="1">
            <a:noAutofit/>
          </a:bodyPr>
          <a:lstStyle/>
          <a:p>
            <a:pPr algn="ctr" rtl="0">
              <a:defRPr sz="1000"/>
            </a:pPr>
            <a:fld id="{7254CC52-39AC-403A-B48A-A86513C2243B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3">
        <xdr:nvSpPr>
          <xdr:cNvPr id="8238" name="Text Box 46">
            <a:extLst>
              <a:ext uri="{FF2B5EF4-FFF2-40B4-BE49-F238E27FC236}">
                <a16:creationId xmlns:a16="http://schemas.microsoft.com/office/drawing/2014/main" id="{00000000-0008-0000-0200-00002E2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633656" y="4650655"/>
            <a:ext cx="1008852" cy="20970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0" rIns="36576" bIns="0" anchor="ctr" upright="1">
            <a:noAutofit/>
          </a:bodyPr>
          <a:lstStyle/>
          <a:p>
            <a:pPr marL="0" indent="0" algn="ctr" rtl="0">
              <a:defRPr sz="1000"/>
            </a:pPr>
            <a:fld id="{B66F21C9-D83B-495A-A534-021FB862621C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Тр2 DN50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G$37">
        <xdr:nvSpPr>
          <xdr:cNvPr id="8242" name="Text Box 50">
            <a:extLst>
              <a:ext uri="{FF2B5EF4-FFF2-40B4-BE49-F238E27FC236}">
                <a16:creationId xmlns:a16="http://schemas.microsoft.com/office/drawing/2014/main" id="{00000000-0008-0000-0200-0000322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387906" y="1693682"/>
            <a:ext cx="1989425" cy="32304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0" rIns="36576" bIns="0" anchor="ctr" upright="1">
            <a:noAutofit/>
          </a:bodyPr>
          <a:lstStyle/>
          <a:p>
            <a:pPr marL="0" indent="0" algn="ctr" rtl="0">
              <a:defRPr sz="1000"/>
            </a:pPr>
            <a:fld id="{6670D4CB-B9B6-4368-B438-4FADEBF20E8F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ПРЭМ-20-D-Cэндвич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G$63">
        <xdr:nvSpPr>
          <xdr:cNvPr id="8243" name="Text Box 51">
            <a:extLst>
              <a:ext uri="{FF2B5EF4-FFF2-40B4-BE49-F238E27FC236}">
                <a16:creationId xmlns:a16="http://schemas.microsoft.com/office/drawing/2014/main" id="{00000000-0008-0000-0200-0000332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084012" y="1960388"/>
            <a:ext cx="1018370" cy="20970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0" rIns="36576" bIns="0" anchor="ctr" upright="1">
            <a:noAutofit/>
          </a:bodyPr>
          <a:lstStyle/>
          <a:p>
            <a:pPr marL="0" indent="0" algn="ctr" rtl="0">
              <a:defRPr sz="1000"/>
            </a:pPr>
            <a:fld id="{E8AC2BD5-20DE-4E51-B4DE-652A5D94C194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Тр3 DN40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6</xdr:col>
      <xdr:colOff>694764</xdr:colOff>
      <xdr:row>2</xdr:row>
      <xdr:rowOff>33619</xdr:rowOff>
    </xdr:from>
    <xdr:to>
      <xdr:col>8</xdr:col>
      <xdr:colOff>595912</xdr:colOff>
      <xdr:row>6</xdr:row>
      <xdr:rowOff>119264</xdr:rowOff>
    </xdr:to>
    <xdr:sp macro="" textlink="">
      <xdr:nvSpPr>
        <xdr:cNvPr id="10" name="Стрелка: вниз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E5B84-5ADC-4C89-97C8-A3D7DDB05A1D}"/>
            </a:ext>
          </a:extLst>
        </xdr:cNvPr>
        <xdr:cNvSpPr/>
      </xdr:nvSpPr>
      <xdr:spPr>
        <a:xfrm rot="16200000">
          <a:off x="10424472" y="30617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</xdr:row>
      <xdr:rowOff>175716</xdr:rowOff>
    </xdr:from>
    <xdr:to>
      <xdr:col>4</xdr:col>
      <xdr:colOff>866775</xdr:colOff>
      <xdr:row>20</xdr:row>
      <xdr:rowOff>149679</xdr:rowOff>
    </xdr:to>
    <xdr:grpSp>
      <xdr:nvGrpSpPr>
        <xdr:cNvPr id="123348" name="Группа 2">
          <a:extLst>
            <a:ext uri="{FF2B5EF4-FFF2-40B4-BE49-F238E27FC236}">
              <a16:creationId xmlns:a16="http://schemas.microsoft.com/office/drawing/2014/main" id="{00000000-0008-0000-0300-0000D4E10100}"/>
            </a:ext>
          </a:extLst>
        </xdr:cNvPr>
        <xdr:cNvGrpSpPr>
          <a:grpSpLocks/>
        </xdr:cNvGrpSpPr>
      </xdr:nvGrpSpPr>
      <xdr:grpSpPr bwMode="auto">
        <a:xfrm>
          <a:off x="1993606" y="1558842"/>
          <a:ext cx="6717287" cy="3201257"/>
          <a:chOff x="1868305" y="2336373"/>
          <a:chExt cx="6599699" cy="3297144"/>
        </a:xfrm>
      </xdr:grpSpPr>
      <xdr:pic>
        <xdr:nvPicPr>
          <xdr:cNvPr id="123349" name="Рисунок 1">
            <a:extLst>
              <a:ext uri="{FF2B5EF4-FFF2-40B4-BE49-F238E27FC236}">
                <a16:creationId xmlns:a16="http://schemas.microsoft.com/office/drawing/2014/main" id="{00000000-0008-0000-0300-0000D5E1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6168" y="2642760"/>
            <a:ext cx="6471836" cy="27062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36">
        <xdr:nvSpPr>
          <xdr:cNvPr id="12292" name="Text Box 4">
            <a:extLst>
              <a:ext uri="{FF2B5EF4-FFF2-40B4-BE49-F238E27FC236}">
                <a16:creationId xmlns:a16="http://schemas.microsoft.com/office/drawing/2014/main" id="{00000000-0008-0000-0300-0000043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433210" y="3042616"/>
            <a:ext cx="2025026" cy="2187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C4FEEFB5-02B5-40B9-B605-A13DCC59EB21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ПРЭМ-150-D-Фланец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E$36">
        <xdr:nvSpPr>
          <xdr:cNvPr id="12293" name="Text Box 5">
            <a:extLst>
              <a:ext uri="{FF2B5EF4-FFF2-40B4-BE49-F238E27FC236}">
                <a16:creationId xmlns:a16="http://schemas.microsoft.com/office/drawing/2014/main" id="{00000000-0008-0000-0300-0000053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314829" y="5416701"/>
            <a:ext cx="2101155" cy="21681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5631E575-F5DD-4B8A-9A53-4BF87EFF1D32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ПРЭМ-150-D-Фланец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D$62">
        <xdr:nvSpPr>
          <xdr:cNvPr id="12294" name="Text Box 6">
            <a:extLst>
              <a:ext uri="{FF2B5EF4-FFF2-40B4-BE49-F238E27FC236}">
                <a16:creationId xmlns:a16="http://schemas.microsoft.com/office/drawing/2014/main" id="{00000000-0008-0000-0300-0000063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907765" y="3150809"/>
            <a:ext cx="1025962" cy="2322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7F251BF6-7480-4405-88BE-E00E02AB3648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DN300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2">
        <xdr:nvSpPr>
          <xdr:cNvPr id="12295" name="Text Box 7">
            <a:extLst>
              <a:ext uri="{FF2B5EF4-FFF2-40B4-BE49-F238E27FC236}">
                <a16:creationId xmlns:a16="http://schemas.microsoft.com/office/drawing/2014/main" id="{00000000-0008-0000-0300-0000073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868305" y="5379196"/>
            <a:ext cx="1025962" cy="21765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ctr" rtl="0">
              <a:defRPr sz="1000"/>
            </a:pPr>
            <a:fld id="{A2022E61-24DC-4A8C-A71D-83B359533A0C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Тр2 DN300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G$36">
        <xdr:nvSpPr>
          <xdr:cNvPr id="12299" name="Text Box 11">
            <a:extLst>
              <a:ext uri="{FF2B5EF4-FFF2-40B4-BE49-F238E27FC236}">
                <a16:creationId xmlns:a16="http://schemas.microsoft.com/office/drawing/2014/main" id="{00000000-0008-0000-0300-00000B3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6169454" y="2336373"/>
            <a:ext cx="2150575" cy="2187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35B2CD36-901D-4D7A-A1B8-BD7631B23EB8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ПРЭМ-32-D-Cэндвич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G$62">
        <xdr:nvSpPr>
          <xdr:cNvPr id="12300" name="Text Box 12">
            <a:extLst>
              <a:ext uri="{FF2B5EF4-FFF2-40B4-BE49-F238E27FC236}">
                <a16:creationId xmlns:a16="http://schemas.microsoft.com/office/drawing/2014/main" id="{00000000-0008-0000-0300-00000C3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3713064" y="2341879"/>
            <a:ext cx="1016097" cy="21765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ctr" rtl="0">
              <a:defRPr sz="1000"/>
            </a:pPr>
            <a:fld id="{19A52A67-81FA-4382-9F61-85BAFAFB6013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Тр3 DN40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6</xdr:col>
      <xdr:colOff>358592</xdr:colOff>
      <xdr:row>2</xdr:row>
      <xdr:rowOff>67238</xdr:rowOff>
    </xdr:from>
    <xdr:to>
      <xdr:col>8</xdr:col>
      <xdr:colOff>394210</xdr:colOff>
      <xdr:row>6</xdr:row>
      <xdr:rowOff>152883</xdr:rowOff>
    </xdr:to>
    <xdr:sp macro="" textlink="">
      <xdr:nvSpPr>
        <xdr:cNvPr id="10" name="Стрелка: вниз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DF3EC6-54C3-466A-9D4C-E8C9D78A4805}"/>
            </a:ext>
          </a:extLst>
        </xdr:cNvPr>
        <xdr:cNvSpPr/>
      </xdr:nvSpPr>
      <xdr:spPr>
        <a:xfrm rot="16200000">
          <a:off x="9819358" y="64236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381016</xdr:colOff>
      <xdr:row>6</xdr:row>
      <xdr:rowOff>213836</xdr:rowOff>
    </xdr:from>
    <xdr:to>
      <xdr:col>5</xdr:col>
      <xdr:colOff>123825</xdr:colOff>
      <xdr:row>22</xdr:row>
      <xdr:rowOff>24410</xdr:rowOff>
    </xdr:to>
    <xdr:grpSp>
      <xdr:nvGrpSpPr>
        <xdr:cNvPr id="119621" name="Группа 2">
          <a:extLst>
            <a:ext uri="{FF2B5EF4-FFF2-40B4-BE49-F238E27FC236}">
              <a16:creationId xmlns:a16="http://schemas.microsoft.com/office/drawing/2014/main" id="{00000000-0008-0000-0400-000045D30100}"/>
            </a:ext>
          </a:extLst>
        </xdr:cNvPr>
        <xdr:cNvGrpSpPr>
          <a:grpSpLocks/>
        </xdr:cNvGrpSpPr>
      </xdr:nvGrpSpPr>
      <xdr:grpSpPr bwMode="auto">
        <a:xfrm>
          <a:off x="995738" y="1596962"/>
          <a:ext cx="8297700" cy="3498910"/>
          <a:chOff x="1123497" y="2110867"/>
          <a:chExt cx="7930640" cy="3850793"/>
        </a:xfrm>
      </xdr:grpSpPr>
      <xdr:pic>
        <xdr:nvPicPr>
          <xdr:cNvPr id="119622" name="Рисунок 1">
            <a:extLst>
              <a:ext uri="{FF2B5EF4-FFF2-40B4-BE49-F238E27FC236}">
                <a16:creationId xmlns:a16="http://schemas.microsoft.com/office/drawing/2014/main" id="{00000000-0008-0000-0400-000046D3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87708" y="2407226"/>
            <a:ext cx="6966429" cy="32583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62">
        <xdr:nvSpPr>
          <xdr:cNvPr id="3411" name="Text Box 339">
            <a:extLst>
              <a:ext uri="{FF2B5EF4-FFF2-40B4-BE49-F238E27FC236}">
                <a16:creationId xmlns:a16="http://schemas.microsoft.com/office/drawing/2014/main" id="{00000000-0008-0000-0400-000053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123497" y="3025430"/>
            <a:ext cx="1162150" cy="24848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0D2CDDBA-0F53-45C6-A87E-7F0ED67C4060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DN80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2">
        <xdr:nvSpPr>
          <xdr:cNvPr id="3412" name="Text Box 340">
            <a:extLst>
              <a:ext uri="{FF2B5EF4-FFF2-40B4-BE49-F238E27FC236}">
                <a16:creationId xmlns:a16="http://schemas.microsoft.com/office/drawing/2014/main" id="{00000000-0008-0000-0400-000054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169068" y="4770317"/>
            <a:ext cx="1026566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ctr" rtl="0">
              <a:defRPr sz="1000"/>
            </a:pPr>
            <a:fld id="{26C0DC2F-37C7-49B1-8DCB-668292B4D837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Тр2 DN80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D$36">
        <xdr:nvSpPr>
          <xdr:cNvPr id="3413" name="Text Box 341">
            <a:extLst>
              <a:ext uri="{FF2B5EF4-FFF2-40B4-BE49-F238E27FC236}">
                <a16:creationId xmlns:a16="http://schemas.microsoft.com/office/drawing/2014/main" id="{00000000-0008-0000-0400-000055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397289" y="2794063"/>
            <a:ext cx="1861985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F6A01D5B-2490-46D1-A752-E171F9D4D63A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ПРЭМ-50-D-Cэндвич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E$36">
        <xdr:nvSpPr>
          <xdr:cNvPr id="3414" name="Text Box 342">
            <a:extLst>
              <a:ext uri="{FF2B5EF4-FFF2-40B4-BE49-F238E27FC236}">
                <a16:creationId xmlns:a16="http://schemas.microsoft.com/office/drawing/2014/main" id="{00000000-0008-0000-0400-000056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698285" y="5071608"/>
            <a:ext cx="1920154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2F08B594-15F3-441A-A4C0-9B4F1A1FBC3E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ПРЭМ-50-D-Cэндвич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G$36">
        <xdr:nvSpPr>
          <xdr:cNvPr id="3417" name="Text Box 345">
            <a:extLst>
              <a:ext uri="{FF2B5EF4-FFF2-40B4-BE49-F238E27FC236}">
                <a16:creationId xmlns:a16="http://schemas.microsoft.com/office/drawing/2014/main" id="{00000000-0008-0000-0400-000059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645164" y="2110867"/>
            <a:ext cx="2082185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9BECEE06-44A0-42F9-B649-1427C67C6747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ПРЭМ-40-D-Cэндвич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H$36">
        <xdr:nvSpPr>
          <xdr:cNvPr id="3419" name="Text Box 347">
            <a:extLst>
              <a:ext uri="{FF2B5EF4-FFF2-40B4-BE49-F238E27FC236}">
                <a16:creationId xmlns:a16="http://schemas.microsoft.com/office/drawing/2014/main" id="{00000000-0008-0000-0400-00005B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712956" y="5727574"/>
            <a:ext cx="2024078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l" rtl="0">
              <a:defRPr sz="1000"/>
            </a:pPr>
            <a:fld id="{1A9A2B48-2B1D-45DD-9C3B-ED7E6324E9FF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l" rtl="0">
                <a:defRPr sz="1000"/>
              </a:pPr>
              <a:t>ПРЭМ-32-D-Cэндвич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G$62">
        <xdr:nvSpPr>
          <xdr:cNvPr id="3423" name="Text Box 351">
            <a:extLst>
              <a:ext uri="{FF2B5EF4-FFF2-40B4-BE49-F238E27FC236}">
                <a16:creationId xmlns:a16="http://schemas.microsoft.com/office/drawing/2014/main" id="{00000000-0008-0000-0400-00005F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365521" y="2324091"/>
            <a:ext cx="958774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ctr" rtl="0">
              <a:defRPr sz="1000"/>
            </a:pPr>
            <a:fld id="{9015A2A6-EF31-470F-8400-9FC27E499F58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Тр3 DN65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  <xdr:sp macro="" textlink="$H$62">
        <xdr:nvSpPr>
          <xdr:cNvPr id="3424" name="Text Box 352">
            <a:extLst>
              <a:ext uri="{FF2B5EF4-FFF2-40B4-BE49-F238E27FC236}">
                <a16:creationId xmlns:a16="http://schemas.microsoft.com/office/drawing/2014/main" id="{00000000-0008-0000-0400-0000600D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434591" y="5653548"/>
            <a:ext cx="958774" cy="23408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marL="0" indent="0" algn="ctr" rtl="0">
              <a:defRPr sz="1000"/>
            </a:pPr>
            <a:fld id="{9C26CE0D-C7A4-4482-8342-B9E90D6A3324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ea typeface="+mn-ea"/>
                <a:cs typeface="Arial"/>
              </a:rPr>
              <a:pPr marL="0" indent="0" algn="ctr" rtl="0">
                <a:defRPr sz="1000"/>
              </a:pPr>
              <a:t>Тр4 DN50</a:t>
            </a:fld>
            <a:endParaRPr lang="ru-RU" sz="14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6</xdr:col>
      <xdr:colOff>515474</xdr:colOff>
      <xdr:row>2</xdr:row>
      <xdr:rowOff>44825</xdr:rowOff>
    </xdr:from>
    <xdr:to>
      <xdr:col>7</xdr:col>
      <xdr:colOff>1156210</xdr:colOff>
      <xdr:row>6</xdr:row>
      <xdr:rowOff>130470</xdr:rowOff>
    </xdr:to>
    <xdr:sp macro="" textlink="">
      <xdr:nvSpPr>
        <xdr:cNvPr id="12" name="Стрелка: вниз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AB0DBB-82EE-478E-A137-FD69468BF24F}"/>
            </a:ext>
          </a:extLst>
        </xdr:cNvPr>
        <xdr:cNvSpPr/>
      </xdr:nvSpPr>
      <xdr:spPr>
        <a:xfrm rot="16200000">
          <a:off x="9976240" y="41823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7</xdr:row>
      <xdr:rowOff>140667</xdr:rowOff>
    </xdr:from>
    <xdr:to>
      <xdr:col>4</xdr:col>
      <xdr:colOff>1020535</xdr:colOff>
      <xdr:row>23</xdr:row>
      <xdr:rowOff>116509</xdr:rowOff>
    </xdr:to>
    <xdr:grpSp>
      <xdr:nvGrpSpPr>
        <xdr:cNvPr id="120645" name="Группа 2">
          <a:extLst>
            <a:ext uri="{FF2B5EF4-FFF2-40B4-BE49-F238E27FC236}">
              <a16:creationId xmlns:a16="http://schemas.microsoft.com/office/drawing/2014/main" id="{00000000-0008-0000-0500-000045D70100}"/>
            </a:ext>
          </a:extLst>
        </xdr:cNvPr>
        <xdr:cNvGrpSpPr>
          <a:grpSpLocks/>
        </xdr:cNvGrpSpPr>
      </xdr:nvGrpSpPr>
      <xdr:grpSpPr bwMode="auto">
        <a:xfrm>
          <a:off x="1557697" y="1754314"/>
          <a:ext cx="7306956" cy="3664179"/>
          <a:chOff x="1066800" y="1664293"/>
          <a:chExt cx="7076502" cy="3695504"/>
        </a:xfrm>
      </xdr:grpSpPr>
      <xdr:pic>
        <xdr:nvPicPr>
          <xdr:cNvPr id="120646" name="Рисунок 1">
            <a:extLst>
              <a:ext uri="{FF2B5EF4-FFF2-40B4-BE49-F238E27FC236}">
                <a16:creationId xmlns:a16="http://schemas.microsoft.com/office/drawing/2014/main" id="{00000000-0008-0000-0500-000046D7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1570" y="1950027"/>
            <a:ext cx="6661732" cy="31157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63">
        <xdr:nvSpPr>
          <xdr:cNvPr id="13314" name="Text Box 2">
            <a:extLst>
              <a:ext uri="{FF2B5EF4-FFF2-40B4-BE49-F238E27FC236}">
                <a16:creationId xmlns:a16="http://schemas.microsoft.com/office/drawing/2014/main" id="{00000000-0008-0000-0500-000002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066800" y="2342416"/>
            <a:ext cx="1024739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6D2BF29F-ADCF-4C07-B16B-6C1C666FD0B8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DN80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3">
        <xdr:nvSpPr>
          <xdr:cNvPr id="13315" name="Text Box 3">
            <a:extLst>
              <a:ext uri="{FF2B5EF4-FFF2-40B4-BE49-F238E27FC236}">
                <a16:creationId xmlns:a16="http://schemas.microsoft.com/office/drawing/2014/main" id="{00000000-0008-0000-0500-000003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066800" y="4434906"/>
            <a:ext cx="1024739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A1693381-7D20-4277-A1E8-A627D87B37D0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Тр2 DN80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D$37">
        <xdr:nvSpPr>
          <xdr:cNvPr id="13316" name="Text Box 4">
            <a:extLst>
              <a:ext uri="{FF2B5EF4-FFF2-40B4-BE49-F238E27FC236}">
                <a16:creationId xmlns:a16="http://schemas.microsoft.com/office/drawing/2014/main" id="{00000000-0008-0000-0500-000004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3608495" y="2329495"/>
            <a:ext cx="1867328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DD3C55C5-E73F-4CEC-9FBA-24008945C266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ПРЭМ-40-D-Cэндвич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37">
        <xdr:nvSpPr>
          <xdr:cNvPr id="13317" name="Text Box 5">
            <a:extLst>
              <a:ext uri="{FF2B5EF4-FFF2-40B4-BE49-F238E27FC236}">
                <a16:creationId xmlns:a16="http://schemas.microsoft.com/office/drawing/2014/main" id="{00000000-0008-0000-0500-000005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3328960" y="4444593"/>
            <a:ext cx="2001142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661B3ADB-44E3-4319-B403-91607F6839BC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ПРЭМ-32-D-Cэндвич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G$37">
        <xdr:nvSpPr>
          <xdr:cNvPr id="13320" name="Text Box 8">
            <a:extLst>
              <a:ext uri="{FF2B5EF4-FFF2-40B4-BE49-F238E27FC236}">
                <a16:creationId xmlns:a16="http://schemas.microsoft.com/office/drawing/2014/main" id="{00000000-0008-0000-0500-000008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846735" y="1664293"/>
            <a:ext cx="2194489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942385A6-4D7D-480C-AD78-06AC95A50BD6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ПРЭМ-20-D-Cэндвич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H$37">
        <xdr:nvSpPr>
          <xdr:cNvPr id="13321" name="Text Box 9">
            <a:extLst>
              <a:ext uri="{FF2B5EF4-FFF2-40B4-BE49-F238E27FC236}">
                <a16:creationId xmlns:a16="http://schemas.microsoft.com/office/drawing/2014/main" id="{00000000-0008-0000-0500-000009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156089" y="5109795"/>
            <a:ext cx="1964290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5FE2F2D5-21CE-4C61-8D6F-15BAEE3CB2D1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ПРЭМ-20-D-Cэндвич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G$63">
        <xdr:nvSpPr>
          <xdr:cNvPr id="13324" name="Text Box 12">
            <a:extLst>
              <a:ext uri="{FF2B5EF4-FFF2-40B4-BE49-F238E27FC236}">
                <a16:creationId xmlns:a16="http://schemas.microsoft.com/office/drawing/2014/main" id="{00000000-0008-0000-0500-00000C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536238" y="1664293"/>
            <a:ext cx="1015072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E732F962-894A-42A5-B0C8-116AFC5A5EBB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Тр3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H$63">
        <xdr:nvSpPr>
          <xdr:cNvPr id="13325" name="Text Box 13">
            <a:extLst>
              <a:ext uri="{FF2B5EF4-FFF2-40B4-BE49-F238E27FC236}">
                <a16:creationId xmlns:a16="http://schemas.microsoft.com/office/drawing/2014/main" id="{00000000-0008-0000-0500-00000D3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536238" y="5132402"/>
            <a:ext cx="1015072" cy="2273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EA139C14-6E8D-4F63-AE9F-6025E471FFDE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Тр4 DN50</a:t>
            </a:fld>
            <a:endParaRPr lang="ru-RU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</xdr:col>
      <xdr:colOff>504266</xdr:colOff>
      <xdr:row>2</xdr:row>
      <xdr:rowOff>44824</xdr:rowOff>
    </xdr:from>
    <xdr:to>
      <xdr:col>7</xdr:col>
      <xdr:colOff>1145002</xdr:colOff>
      <xdr:row>6</xdr:row>
      <xdr:rowOff>130469</xdr:rowOff>
    </xdr:to>
    <xdr:sp macro="" textlink="">
      <xdr:nvSpPr>
        <xdr:cNvPr id="12" name="Стрелка: вниз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C6D04D-1593-46CE-B9BC-F3B287FFF562}"/>
            </a:ext>
          </a:extLst>
        </xdr:cNvPr>
        <xdr:cNvSpPr/>
      </xdr:nvSpPr>
      <xdr:spPr>
        <a:xfrm rot="16200000">
          <a:off x="9965032" y="41822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77503</xdr:rowOff>
    </xdr:from>
    <xdr:to>
      <xdr:col>4</xdr:col>
      <xdr:colOff>1000125</xdr:colOff>
      <xdr:row>24</xdr:row>
      <xdr:rowOff>76200</xdr:rowOff>
    </xdr:to>
    <xdr:grpSp>
      <xdr:nvGrpSpPr>
        <xdr:cNvPr id="121670" name="Группа 2">
          <a:extLst>
            <a:ext uri="{FF2B5EF4-FFF2-40B4-BE49-F238E27FC236}">
              <a16:creationId xmlns:a16="http://schemas.microsoft.com/office/drawing/2014/main" id="{00000000-0008-0000-0600-000046DB0100}"/>
            </a:ext>
          </a:extLst>
        </xdr:cNvPr>
        <xdr:cNvGrpSpPr>
          <a:grpSpLocks/>
        </xdr:cNvGrpSpPr>
      </xdr:nvGrpSpPr>
      <xdr:grpSpPr bwMode="auto">
        <a:xfrm>
          <a:off x="2165056" y="1691150"/>
          <a:ext cx="6679187" cy="3917555"/>
          <a:chOff x="2257425" y="1655733"/>
          <a:chExt cx="6727650" cy="4381626"/>
        </a:xfrm>
      </xdr:grpSpPr>
      <xdr:pic>
        <xdr:nvPicPr>
          <xdr:cNvPr id="121671" name="Рисунок 1">
            <a:extLst>
              <a:ext uri="{FF2B5EF4-FFF2-40B4-BE49-F238E27FC236}">
                <a16:creationId xmlns:a16="http://schemas.microsoft.com/office/drawing/2014/main" id="{00000000-0008-0000-0600-000047DB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03343" y="1795241"/>
            <a:ext cx="6481732" cy="42421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64">
        <xdr:nvSpPr>
          <xdr:cNvPr id="16386" name="Text Box 2">
            <a:extLst>
              <a:ext uri="{FF2B5EF4-FFF2-40B4-BE49-F238E27FC236}">
                <a16:creationId xmlns:a16="http://schemas.microsoft.com/office/drawing/2014/main" id="{00000000-0008-0000-0600-000002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257425" y="1716091"/>
            <a:ext cx="1021793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FB01E1D2-053D-4AC2-89D0-7C11E39797CB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Tр1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4">
        <xdr:nvSpPr>
          <xdr:cNvPr id="16387" name="Text Box 3">
            <a:extLst>
              <a:ext uri="{FF2B5EF4-FFF2-40B4-BE49-F238E27FC236}">
                <a16:creationId xmlns:a16="http://schemas.microsoft.com/office/drawing/2014/main" id="{00000000-0008-0000-0600-000003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257425" y="3058985"/>
            <a:ext cx="1021793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5B69FECF-2B30-4237-81FD-89DE538BC2F8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Тр2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D$38">
        <xdr:nvSpPr>
          <xdr:cNvPr id="16388" name="Text Box 4">
            <a:extLst>
              <a:ext uri="{FF2B5EF4-FFF2-40B4-BE49-F238E27FC236}">
                <a16:creationId xmlns:a16="http://schemas.microsoft.com/office/drawing/2014/main" id="{00000000-0008-0000-0600-000004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292455" y="1655733"/>
            <a:ext cx="2154418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48764CF6-12C6-45AF-BF19-0983155CB685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ПРЭМ-40-D-Cэндвич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38">
        <xdr:nvSpPr>
          <xdr:cNvPr id="16389" name="Text Box 5">
            <a:extLst>
              <a:ext uri="{FF2B5EF4-FFF2-40B4-BE49-F238E27FC236}">
                <a16:creationId xmlns:a16="http://schemas.microsoft.com/office/drawing/2014/main" id="{00000000-0008-0000-0600-000005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322805" y="3044320"/>
            <a:ext cx="2152953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2A153A3B-F3CB-49E5-B628-2FEA141E0065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ПРЭМ-40-D-Cэндвич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G$38">
        <xdr:nvSpPr>
          <xdr:cNvPr id="16392" name="Text Box 8">
            <a:extLst>
              <a:ext uri="{FF2B5EF4-FFF2-40B4-BE49-F238E27FC236}">
                <a16:creationId xmlns:a16="http://schemas.microsoft.com/office/drawing/2014/main" id="{00000000-0008-0000-0600-000008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160937" y="3931990"/>
            <a:ext cx="2271492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E82A0569-E709-4992-B623-8AFB96EE18A7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ПРЭМ-15-D-Cэндвич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H$38">
        <xdr:nvSpPr>
          <xdr:cNvPr id="16393" name="Text Box 9">
            <a:extLst>
              <a:ext uri="{FF2B5EF4-FFF2-40B4-BE49-F238E27FC236}">
                <a16:creationId xmlns:a16="http://schemas.microsoft.com/office/drawing/2014/main" id="{00000000-0008-0000-0600-000009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5312689" y="5282821"/>
            <a:ext cx="2134183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1AC8A090-9589-4C01-913B-EC6EE890CFF4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ПРЭМ-15-D-Cэндвич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G$64">
        <xdr:nvSpPr>
          <xdr:cNvPr id="16396" name="Text Box 12">
            <a:extLst>
              <a:ext uri="{FF2B5EF4-FFF2-40B4-BE49-F238E27FC236}">
                <a16:creationId xmlns:a16="http://schemas.microsoft.com/office/drawing/2014/main" id="{00000000-0008-0000-0600-00000C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257425" y="3929182"/>
            <a:ext cx="1021793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F868DE54-7FB4-421C-947E-F8F52EFF4475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Тр3 DN40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H$64">
        <xdr:nvSpPr>
          <xdr:cNvPr id="16397" name="Text Box 13">
            <a:extLst>
              <a:ext uri="{FF2B5EF4-FFF2-40B4-BE49-F238E27FC236}">
                <a16:creationId xmlns:a16="http://schemas.microsoft.com/office/drawing/2014/main" id="{00000000-0008-0000-0600-00000D40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2257425" y="5368764"/>
            <a:ext cx="1021793" cy="2521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8E75684E-6A08-4CC3-8E24-85327B75BB0E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Тр4 DN25</a:t>
            </a:fld>
            <a:endParaRPr lang="ru-RU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</xdr:col>
      <xdr:colOff>537884</xdr:colOff>
      <xdr:row>2</xdr:row>
      <xdr:rowOff>56030</xdr:rowOff>
    </xdr:from>
    <xdr:to>
      <xdr:col>7</xdr:col>
      <xdr:colOff>1178620</xdr:colOff>
      <xdr:row>6</xdr:row>
      <xdr:rowOff>141675</xdr:rowOff>
    </xdr:to>
    <xdr:sp macro="" textlink="">
      <xdr:nvSpPr>
        <xdr:cNvPr id="12" name="Стрелка: вниз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AAC6B-E101-49DA-B837-F30CE3280861}"/>
            </a:ext>
          </a:extLst>
        </xdr:cNvPr>
        <xdr:cNvSpPr/>
      </xdr:nvSpPr>
      <xdr:spPr>
        <a:xfrm rot="16200000">
          <a:off x="9998650" y="53028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26468</xdr:rowOff>
    </xdr:from>
    <xdr:to>
      <xdr:col>4</xdr:col>
      <xdr:colOff>971550</xdr:colOff>
      <xdr:row>22</xdr:row>
      <xdr:rowOff>161924</xdr:rowOff>
    </xdr:to>
    <xdr:grpSp>
      <xdr:nvGrpSpPr>
        <xdr:cNvPr id="125392" name="Группа 3">
          <a:extLst>
            <a:ext uri="{FF2B5EF4-FFF2-40B4-BE49-F238E27FC236}">
              <a16:creationId xmlns:a16="http://schemas.microsoft.com/office/drawing/2014/main" id="{00000000-0008-0000-0700-0000D0E90100}"/>
            </a:ext>
          </a:extLst>
        </xdr:cNvPr>
        <xdr:cNvGrpSpPr>
          <a:grpSpLocks/>
        </xdr:cNvGrpSpPr>
      </xdr:nvGrpSpPr>
      <xdr:grpSpPr bwMode="auto">
        <a:xfrm>
          <a:off x="1907881" y="1870636"/>
          <a:ext cx="6907787" cy="3362750"/>
          <a:chOff x="1206824" y="2452776"/>
          <a:chExt cx="6662464" cy="3171501"/>
        </a:xfrm>
      </xdr:grpSpPr>
      <xdr:pic>
        <xdr:nvPicPr>
          <xdr:cNvPr id="125393" name="Рисунок 2">
            <a:extLst>
              <a:ext uri="{FF2B5EF4-FFF2-40B4-BE49-F238E27FC236}">
                <a16:creationId xmlns:a16="http://schemas.microsoft.com/office/drawing/2014/main" id="{00000000-0008-0000-0700-0000D1E901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7452" y="2539781"/>
            <a:ext cx="6471836" cy="30844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$D$36">
        <xdr:nvSpPr>
          <xdr:cNvPr id="17412" name="Text Box 4">
            <a:extLst>
              <a:ext uri="{FF2B5EF4-FFF2-40B4-BE49-F238E27FC236}">
                <a16:creationId xmlns:a16="http://schemas.microsoft.com/office/drawing/2014/main" id="{00000000-0008-0000-0700-0000044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272138" y="2461832"/>
            <a:ext cx="2049989" cy="212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51301D16-EF41-4057-A4A1-33E0B70F2480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ПРЭМ-32-D-Cэндвич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36">
        <xdr:nvSpPr>
          <xdr:cNvPr id="17413" name="Text Box 5">
            <a:extLst>
              <a:ext uri="{FF2B5EF4-FFF2-40B4-BE49-F238E27FC236}">
                <a16:creationId xmlns:a16="http://schemas.microsoft.com/office/drawing/2014/main" id="{00000000-0008-0000-0700-0000054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272138" y="3802061"/>
            <a:ext cx="1962961" cy="212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1">
              <a:defRPr sz="1000"/>
            </a:pPr>
            <a:fld id="{9D304F0E-4179-4C44-9A83-1C698E66B3B6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1">
                <a:defRPr sz="1000"/>
              </a:pPr>
              <a:t>ПРЭМ-32-D-Cэндвич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D$62">
        <xdr:nvSpPr>
          <xdr:cNvPr id="17414" name="Text Box 6">
            <a:extLst>
              <a:ext uri="{FF2B5EF4-FFF2-40B4-BE49-F238E27FC236}">
                <a16:creationId xmlns:a16="http://schemas.microsoft.com/office/drawing/2014/main" id="{00000000-0008-0000-0700-0000064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206824" y="2452776"/>
            <a:ext cx="1024994" cy="212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3BAD2192-30A6-46A0-BCED-F6AD46EB879A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Тр1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E$62">
        <xdr:nvSpPr>
          <xdr:cNvPr id="17415" name="Text Box 7">
            <a:extLst>
              <a:ext uri="{FF2B5EF4-FFF2-40B4-BE49-F238E27FC236}">
                <a16:creationId xmlns:a16="http://schemas.microsoft.com/office/drawing/2014/main" id="{00000000-0008-0000-0700-0000074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206824" y="3802061"/>
            <a:ext cx="1024994" cy="212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452EF676-A6D2-4B03-B5B1-15320EC9CA3E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Тр2 DN50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G$36">
        <xdr:nvSpPr>
          <xdr:cNvPr id="17419" name="Text Box 11">
            <a:extLst>
              <a:ext uri="{FF2B5EF4-FFF2-40B4-BE49-F238E27FC236}">
                <a16:creationId xmlns:a16="http://schemas.microsoft.com/office/drawing/2014/main" id="{00000000-0008-0000-0700-00000B4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4272138" y="4617064"/>
            <a:ext cx="2098338" cy="212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l" rtl="0">
              <a:defRPr sz="1000"/>
            </a:pPr>
            <a:fld id="{0BD2BA21-4436-43E1-8101-579A095B3E3E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l" rtl="0">
                <a:defRPr sz="1000"/>
              </a:pPr>
              <a:t>ПРЭМ-20-D-Cэндвич</a:t>
            </a:fld>
            <a:endParaRPr lang="ru-RU" sz="1400" b="1">
              <a:solidFill>
                <a:srgbClr val="FF0000"/>
              </a:solidFill>
            </a:endParaRPr>
          </a:p>
        </xdr:txBody>
      </xdr:sp>
      <xdr:sp macro="" textlink="$G$62">
        <xdr:nvSpPr>
          <xdr:cNvPr id="17420" name="Text Box 12">
            <a:extLst>
              <a:ext uri="{FF2B5EF4-FFF2-40B4-BE49-F238E27FC236}">
                <a16:creationId xmlns:a16="http://schemas.microsoft.com/office/drawing/2014/main" id="{00000000-0008-0000-0700-00000C440000}"/>
              </a:ext>
            </a:extLst>
          </xdr:cNvPr>
          <xdr:cNvSpPr txBox="1">
            <a:spLocks noChangeArrowheads="1" noTextEdit="1"/>
          </xdr:cNvSpPr>
        </xdr:nvSpPr>
        <xdr:spPr bwMode="auto">
          <a:xfrm>
            <a:off x="1206824" y="4608009"/>
            <a:ext cx="1024994" cy="212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>
            <a:spAutoFit/>
          </a:bodyPr>
          <a:lstStyle/>
          <a:p>
            <a:pPr algn="ctr" rtl="0">
              <a:defRPr sz="1000"/>
            </a:pPr>
            <a:fld id="{662E366C-8C5A-4662-84BD-26B5918BFAE5}" type="TxLink">
              <a:rPr lang="ru-RU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pPr algn="ctr" rtl="0">
                <a:defRPr sz="1000"/>
              </a:pPr>
              <a:t>Тр3 DN50</a:t>
            </a:fld>
            <a:endParaRPr lang="ru-RU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</xdr:col>
      <xdr:colOff>414619</xdr:colOff>
      <xdr:row>2</xdr:row>
      <xdr:rowOff>44824</xdr:rowOff>
    </xdr:from>
    <xdr:to>
      <xdr:col>8</xdr:col>
      <xdr:colOff>450237</xdr:colOff>
      <xdr:row>6</xdr:row>
      <xdr:rowOff>130469</xdr:rowOff>
    </xdr:to>
    <xdr:sp macro="" textlink="">
      <xdr:nvSpPr>
        <xdr:cNvPr id="10" name="Стрелка: вниз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DE6B9B-0753-4FE5-BC89-6E1D37530E6C}"/>
            </a:ext>
          </a:extLst>
        </xdr:cNvPr>
        <xdr:cNvSpPr/>
      </xdr:nvSpPr>
      <xdr:spPr>
        <a:xfrm rot="16200000">
          <a:off x="9875385" y="41822"/>
          <a:ext cx="982116" cy="1884589"/>
        </a:xfrm>
        <a:prstGeom prst="downArrow">
          <a:avLst/>
        </a:prstGeom>
        <a:solidFill>
          <a:srgbClr val="FF9900"/>
        </a:solidFill>
        <a:ln>
          <a:solidFill>
            <a:schemeClr val="bg1">
              <a:lumMod val="65000"/>
            </a:schemeClr>
          </a:solidFill>
        </a:ln>
        <a:scene3d>
          <a:camera prst="orthographicFront"/>
          <a:lightRig rig="threePt" dir="t"/>
        </a:scene3d>
        <a:sp3d>
          <a:bevelT w="2413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90000" tIns="36000" bIns="36000" rtlCol="0" anchor="ctr" anchorCtr="1"/>
        <a:lstStyle/>
        <a:p>
          <a:pPr algn="ctr"/>
          <a:r>
            <a:rPr lang="ru-RU" sz="1200" b="1" i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К</a:t>
          </a:r>
          <a:r>
            <a:rPr lang="ru-RU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выбору схем</a:t>
          </a:r>
          <a:endParaRPr lang="ru-RU" sz="1200" b="1" i="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X188"/>
  <sheetViews>
    <sheetView showGridLines="0" showRowColHeaders="0" tabSelected="1" zoomScale="85" zoomScaleNormal="85" zoomScaleSheetLayoutView="70" zoomScalePageLayoutView="25" workbookViewId="0">
      <selection activeCell="A2" sqref="A2"/>
    </sheetView>
  </sheetViews>
  <sheetFormatPr defaultColWidth="9.15234375" defaultRowHeight="12.45" x14ac:dyDescent="0.3"/>
  <cols>
    <col min="1" max="1" width="202.53515625" style="6" customWidth="1"/>
    <col min="2" max="16384" width="9.15234375" style="6"/>
  </cols>
  <sheetData>
    <row r="2" spans="1:7" ht="22.75" x14ac:dyDescent="0.55000000000000004">
      <c r="A2" s="714" t="s">
        <v>385</v>
      </c>
    </row>
    <row r="3" spans="1:7" ht="20.149999999999999" x14ac:dyDescent="0.5">
      <c r="A3" s="715"/>
    </row>
    <row r="4" spans="1:7" ht="20.149999999999999" x14ac:dyDescent="0.5">
      <c r="A4" s="716" t="s">
        <v>383</v>
      </c>
    </row>
    <row r="5" spans="1:7" ht="24.75" customHeight="1" x14ac:dyDescent="0.4">
      <c r="A5" s="717" t="s">
        <v>417</v>
      </c>
    </row>
    <row r="6" spans="1:7" ht="17.600000000000001" x14ac:dyDescent="0.4">
      <c r="A6" s="718" t="s">
        <v>109</v>
      </c>
    </row>
    <row r="7" spans="1:7" ht="17.600000000000001" x14ac:dyDescent="0.4">
      <c r="A7" s="718" t="s">
        <v>110</v>
      </c>
    </row>
    <row r="8" spans="1:7" ht="17.600000000000001" x14ac:dyDescent="0.4">
      <c r="A8" s="718" t="s">
        <v>402</v>
      </c>
    </row>
    <row r="9" spans="1:7" ht="17.600000000000001" x14ac:dyDescent="0.4">
      <c r="A9" s="718" t="s">
        <v>113</v>
      </c>
    </row>
    <row r="10" spans="1:7" ht="30" customHeight="1" x14ac:dyDescent="0.4">
      <c r="A10" s="718" t="s">
        <v>403</v>
      </c>
    </row>
    <row r="11" spans="1:7" ht="17.600000000000001" x14ac:dyDescent="0.4">
      <c r="A11" s="718" t="s">
        <v>111</v>
      </c>
    </row>
    <row r="12" spans="1:7" ht="58.5" customHeight="1" x14ac:dyDescent="0.3">
      <c r="A12" s="719" t="s">
        <v>452</v>
      </c>
      <c r="G12" s="720"/>
    </row>
    <row r="13" spans="1:7" ht="36.75" customHeight="1" x14ac:dyDescent="0.4">
      <c r="A13" s="721" t="s">
        <v>112</v>
      </c>
    </row>
    <row r="14" spans="1:7" ht="21" customHeight="1" x14ac:dyDescent="0.4">
      <c r="A14" s="718" t="s">
        <v>114</v>
      </c>
    </row>
    <row r="15" spans="1:7" ht="17.600000000000001" x14ac:dyDescent="0.4">
      <c r="A15" s="718" t="s">
        <v>115</v>
      </c>
    </row>
    <row r="16" spans="1:7" ht="17.600000000000001" x14ac:dyDescent="0.4">
      <c r="A16" s="718" t="s">
        <v>235</v>
      </c>
    </row>
    <row r="17" spans="1:24" ht="17.600000000000001" x14ac:dyDescent="0.4">
      <c r="A17" s="717" t="s">
        <v>404</v>
      </c>
    </row>
    <row r="18" spans="1:24" ht="17.600000000000001" x14ac:dyDescent="0.4">
      <c r="A18" s="718" t="s">
        <v>116</v>
      </c>
    </row>
    <row r="19" spans="1:24" ht="17.600000000000001" x14ac:dyDescent="0.4">
      <c r="A19" s="717" t="s">
        <v>394</v>
      </c>
    </row>
    <row r="20" spans="1:24" ht="37.5" customHeight="1" x14ac:dyDescent="0.4">
      <c r="A20" s="721" t="s">
        <v>392</v>
      </c>
    </row>
    <row r="21" spans="1:24" ht="39.75" customHeight="1" x14ac:dyDescent="0.4">
      <c r="A21" s="722" t="s">
        <v>405</v>
      </c>
    </row>
    <row r="22" spans="1:24" ht="17.600000000000001" x14ac:dyDescent="0.4">
      <c r="A22" s="718"/>
    </row>
    <row r="24" spans="1:24" ht="33.75" customHeight="1" x14ac:dyDescent="0.5">
      <c r="A24" s="723" t="s">
        <v>386</v>
      </c>
    </row>
    <row r="27" spans="1:24" ht="29.25" customHeight="1" x14ac:dyDescent="0.4">
      <c r="A27" s="724" t="s">
        <v>83</v>
      </c>
      <c r="K27" s="725"/>
      <c r="L27" s="726"/>
      <c r="M27" s="726"/>
      <c r="N27" s="726"/>
      <c r="O27" s="726"/>
      <c r="P27" s="726"/>
      <c r="Q27" s="726"/>
      <c r="R27" s="726"/>
      <c r="S27" s="725"/>
      <c r="T27" s="727"/>
      <c r="U27" s="727"/>
      <c r="V27" s="727"/>
      <c r="W27" s="727"/>
      <c r="X27" s="727"/>
    </row>
    <row r="28" spans="1:24" ht="18" customHeight="1" x14ac:dyDescent="0.4">
      <c r="A28" s="725"/>
      <c r="L28" s="727"/>
      <c r="M28" s="727"/>
      <c r="N28" s="727"/>
      <c r="O28" s="727"/>
      <c r="P28" s="727"/>
      <c r="Q28" s="727"/>
      <c r="R28" s="727"/>
      <c r="S28" s="728"/>
      <c r="T28" s="727"/>
      <c r="U28" s="727"/>
      <c r="V28" s="727"/>
      <c r="W28" s="727"/>
      <c r="X28" s="727"/>
    </row>
    <row r="29" spans="1:24" ht="18" customHeight="1" x14ac:dyDescent="0.45">
      <c r="A29" s="729" t="s">
        <v>387</v>
      </c>
      <c r="K29" s="717"/>
      <c r="L29" s="717"/>
      <c r="M29" s="727"/>
      <c r="N29" s="727"/>
      <c r="O29" s="727"/>
      <c r="P29" s="727"/>
      <c r="Q29" s="727"/>
      <c r="R29" s="727"/>
      <c r="S29" s="730"/>
      <c r="T29" s="727"/>
      <c r="U29" s="727"/>
      <c r="V29" s="727"/>
      <c r="W29" s="727"/>
      <c r="X29" s="727"/>
    </row>
    <row r="30" spans="1:24" ht="18" customHeight="1" x14ac:dyDescent="0.45">
      <c r="A30" s="729"/>
      <c r="K30" s="717"/>
      <c r="L30" s="717"/>
      <c r="M30" s="727"/>
      <c r="N30" s="727"/>
      <c r="O30" s="727"/>
      <c r="P30" s="727"/>
      <c r="Q30" s="727"/>
      <c r="R30" s="727"/>
      <c r="S30" s="730"/>
      <c r="T30" s="727"/>
      <c r="U30" s="727"/>
      <c r="V30" s="727"/>
      <c r="W30" s="727"/>
      <c r="X30" s="727"/>
    </row>
    <row r="31" spans="1:24" ht="17.600000000000001" x14ac:dyDescent="0.4">
      <c r="A31" s="730"/>
      <c r="K31" s="717"/>
      <c r="L31" s="717"/>
      <c r="M31" s="727"/>
      <c r="N31" s="727"/>
      <c r="O31" s="727"/>
      <c r="P31" s="727"/>
      <c r="Q31" s="727"/>
      <c r="R31" s="727"/>
      <c r="S31" s="731"/>
      <c r="T31" s="727"/>
      <c r="U31" s="727"/>
      <c r="V31" s="727"/>
      <c r="W31" s="727"/>
      <c r="X31" s="727"/>
    </row>
    <row r="39" spans="1:1" ht="6" customHeight="1" x14ac:dyDescent="0.4">
      <c r="A39" s="741"/>
    </row>
    <row r="40" spans="1:1" ht="6.75" customHeight="1" x14ac:dyDescent="0.45">
      <c r="A40" s="729"/>
    </row>
    <row r="42" spans="1:1" ht="17.600000000000001" x14ac:dyDescent="0.4">
      <c r="A42" s="741" t="s">
        <v>84</v>
      </c>
    </row>
    <row r="43" spans="1:1" ht="18" customHeight="1" x14ac:dyDescent="0.4">
      <c r="A43" s="730"/>
    </row>
    <row r="44" spans="1:1" ht="18" customHeight="1" x14ac:dyDescent="0.45">
      <c r="A44" s="729" t="s">
        <v>395</v>
      </c>
    </row>
    <row r="45" spans="1:1" ht="18" customHeight="1" x14ac:dyDescent="0.45">
      <c r="A45" s="729"/>
    </row>
    <row r="46" spans="1:1" ht="18" x14ac:dyDescent="0.45">
      <c r="A46" s="729"/>
    </row>
    <row r="47" spans="1:1" ht="18" x14ac:dyDescent="0.45">
      <c r="A47" s="729"/>
    </row>
    <row r="48" spans="1:1" ht="18" x14ac:dyDescent="0.45">
      <c r="A48" s="729"/>
    </row>
    <row r="49" spans="1:1" ht="18" x14ac:dyDescent="0.45">
      <c r="A49" s="729"/>
    </row>
    <row r="50" spans="1:1" ht="18" x14ac:dyDescent="0.45">
      <c r="A50" s="729"/>
    </row>
    <row r="51" spans="1:1" ht="18" x14ac:dyDescent="0.45">
      <c r="A51" s="729"/>
    </row>
    <row r="52" spans="1:1" ht="18" x14ac:dyDescent="0.45">
      <c r="A52" s="729"/>
    </row>
    <row r="53" spans="1:1" ht="12" customHeight="1" x14ac:dyDescent="0.45">
      <c r="A53" s="729"/>
    </row>
    <row r="54" spans="1:1" ht="15.75" customHeight="1" x14ac:dyDescent="0.45">
      <c r="A54" s="729"/>
    </row>
    <row r="57" spans="1:1" ht="17.600000000000001" x14ac:dyDescent="0.4">
      <c r="A57" s="732" t="s">
        <v>85</v>
      </c>
    </row>
    <row r="58" spans="1:1" ht="18" customHeight="1" x14ac:dyDescent="0.4">
      <c r="A58" s="730"/>
    </row>
    <row r="59" spans="1:1" ht="36" x14ac:dyDescent="0.45">
      <c r="A59" s="733" t="s">
        <v>396</v>
      </c>
    </row>
    <row r="63" spans="1:1" ht="18" x14ac:dyDescent="0.45">
      <c r="A63" s="734" t="s">
        <v>397</v>
      </c>
    </row>
    <row r="64" spans="1:1" ht="18" customHeight="1" x14ac:dyDescent="0.3"/>
    <row r="83" spans="1:1" ht="18" x14ac:dyDescent="0.45">
      <c r="A83" s="734" t="s">
        <v>398</v>
      </c>
    </row>
    <row r="84" spans="1:1" ht="18" customHeight="1" x14ac:dyDescent="0.3"/>
    <row r="104" spans="1:1" x14ac:dyDescent="0.3">
      <c r="A104" s="397"/>
    </row>
    <row r="105" spans="1:1" ht="17.600000000000001" x14ac:dyDescent="0.4">
      <c r="A105" s="735" t="s">
        <v>86</v>
      </c>
    </row>
    <row r="106" spans="1:1" ht="18" customHeight="1" x14ac:dyDescent="0.4">
      <c r="A106" s="736"/>
    </row>
    <row r="107" spans="1:1" ht="18" customHeight="1" x14ac:dyDescent="0.45">
      <c r="A107" s="733" t="s">
        <v>399</v>
      </c>
    </row>
    <row r="108" spans="1:1" ht="17.600000000000001" x14ac:dyDescent="0.4">
      <c r="A108" s="730"/>
    </row>
    <row r="109" spans="1:1" ht="17.600000000000001" x14ac:dyDescent="0.4">
      <c r="A109" s="730"/>
    </row>
    <row r="110" spans="1:1" ht="18" x14ac:dyDescent="0.45">
      <c r="A110" s="734" t="s">
        <v>397</v>
      </c>
    </row>
    <row r="111" spans="1:1" ht="18" customHeight="1" x14ac:dyDescent="0.4">
      <c r="A111" s="730"/>
    </row>
    <row r="120" spans="1:1" ht="17.600000000000001" x14ac:dyDescent="0.4">
      <c r="A120" s="717"/>
    </row>
    <row r="134" spans="1:1" ht="18" x14ac:dyDescent="0.45">
      <c r="A134" s="734" t="s">
        <v>398</v>
      </c>
    </row>
    <row r="135" spans="1:1" ht="18" customHeight="1" x14ac:dyDescent="0.3"/>
    <row r="158" spans="1:1" ht="17.600000000000001" x14ac:dyDescent="0.4">
      <c r="A158" s="737" t="s">
        <v>87</v>
      </c>
    </row>
    <row r="159" spans="1:1" ht="18" customHeight="1" x14ac:dyDescent="0.3">
      <c r="A159" s="738"/>
    </row>
    <row r="160" spans="1:1" ht="18" customHeight="1" x14ac:dyDescent="0.45">
      <c r="A160" s="733" t="s">
        <v>400</v>
      </c>
    </row>
    <row r="161" spans="1:1" ht="18" customHeight="1" x14ac:dyDescent="0.4">
      <c r="A161" s="739"/>
    </row>
    <row r="182" spans="1:1" ht="19.5" customHeight="1" x14ac:dyDescent="0.3"/>
    <row r="185" spans="1:1" ht="17.600000000000001" x14ac:dyDescent="0.4">
      <c r="A185" s="740" t="s">
        <v>88</v>
      </c>
    </row>
    <row r="186" spans="1:1" ht="18" customHeight="1" x14ac:dyDescent="0.3">
      <c r="A186" s="738"/>
    </row>
    <row r="187" spans="1:1" ht="18" customHeight="1" x14ac:dyDescent="0.45">
      <c r="A187" s="733" t="s">
        <v>401</v>
      </c>
    </row>
    <row r="188" spans="1:1" ht="18" customHeight="1" x14ac:dyDescent="0.4">
      <c r="A188" s="730"/>
    </row>
  </sheetData>
  <sheetProtection algorithmName="SHA-512" hashValue="Q74hMLcl/9tndYICtCmc/aXxGnivuZtSSmGXsjir1ax5p1K4QMrSGQqDAnM0qBU7BevynHuGh7zw4EYsIkbNdw==" saltValue="HDTwJpXaoFHaEXsZt/DhtA==" spinCount="100000" sheet="1" objects="1" scenarios="1"/>
  <customSheetViews>
    <customSheetView guid="{AAE00E0F-58A4-431B-A945-2FAABDFF301E}" scale="75" showGridLines="0" topLeftCell="A16">
      <selection activeCell="U40" sqref="U40"/>
      <pageMargins left="0.75" right="0.75" top="1" bottom="1" header="0.5" footer="0.5"/>
      <pageSetup paperSize="9" orientation="portrait" verticalDpi="0" r:id="rId1"/>
      <headerFooter alignWithMargins="0"/>
    </customSheetView>
  </customSheetViews>
  <phoneticPr fontId="2" type="noConversion"/>
  <pageMargins left="0.23622047244094491" right="0.23622047244094491" top="0" bottom="0" header="0.31496062992125984" footer="0.31496062992125984"/>
  <pageSetup paperSize="9" scale="50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9900"/>
    <pageSetUpPr fitToPage="1"/>
  </sheetPr>
  <dimension ref="B1:BX189"/>
  <sheetViews>
    <sheetView showGridLines="0" showRowColHeaders="0" zoomScale="85" zoomScaleNormal="85" workbookViewId="0"/>
  </sheetViews>
  <sheetFormatPr defaultColWidth="9.15234375" defaultRowHeight="12.45" x14ac:dyDescent="0.3"/>
  <cols>
    <col min="1" max="1" width="8.69140625" style="78" customWidth="1"/>
    <col min="2" max="2" width="17.69140625" style="78" customWidth="1"/>
    <col min="3" max="3" width="8.69140625" style="78" customWidth="1"/>
    <col min="4" max="4" width="65.69140625" style="78" customWidth="1"/>
    <col min="5" max="5" width="25.69140625" style="78" customWidth="1"/>
    <col min="6" max="6" width="25.3046875" style="78" customWidth="1"/>
    <col min="7" max="7" width="18.69140625" style="78" customWidth="1"/>
    <col min="8" max="8" width="16.3046875" style="78" hidden="1" customWidth="1"/>
    <col min="9" max="9" width="10.69140625" style="78" hidden="1" customWidth="1"/>
    <col min="10" max="10" width="13.53515625" style="78" hidden="1" customWidth="1"/>
    <col min="11" max="11" width="10.69140625" style="78" hidden="1" customWidth="1"/>
    <col min="12" max="12" width="18.69140625" style="78" hidden="1" customWidth="1"/>
    <col min="13" max="13" width="14.69140625" style="78" hidden="1" customWidth="1"/>
    <col min="14" max="18" width="12.69140625" style="78" hidden="1" customWidth="1"/>
    <col min="19" max="19" width="14.3046875" style="78" hidden="1" customWidth="1"/>
    <col min="20" max="23" width="12.69140625" style="78" hidden="1" customWidth="1"/>
    <col min="24" max="24" width="10.3046875" style="78" hidden="1" customWidth="1"/>
    <col min="25" max="28" width="12.15234375" style="78" hidden="1" customWidth="1"/>
    <col min="29" max="29" width="15" style="78" hidden="1" customWidth="1"/>
    <col min="30" max="30" width="14.84375" style="78" hidden="1" customWidth="1"/>
    <col min="31" max="36" width="15.15234375" style="78" hidden="1" customWidth="1"/>
    <col min="37" max="37" width="15.3828125" style="78" hidden="1" customWidth="1"/>
    <col min="38" max="43" width="13.15234375" style="78" hidden="1" customWidth="1"/>
    <col min="44" max="47" width="13.69140625" style="78" hidden="1" customWidth="1"/>
    <col min="48" max="48" width="19.53515625" style="78" hidden="1" customWidth="1"/>
    <col min="49" max="49" width="13.69140625" style="78" hidden="1" customWidth="1"/>
    <col min="50" max="50" width="17.53515625" style="78" hidden="1" customWidth="1"/>
    <col min="51" max="54" width="13.69140625" style="78" hidden="1" customWidth="1"/>
    <col min="55" max="61" width="13.69140625" style="78" customWidth="1"/>
    <col min="62" max="16384" width="9.15234375" style="78"/>
  </cols>
  <sheetData>
    <row r="1" spans="2:63" ht="18" customHeight="1" thickBot="1" x14ac:dyDescent="0.35">
      <c r="J1" s="125"/>
      <c r="K1" s="125"/>
      <c r="L1" s="126"/>
      <c r="M1" s="126"/>
      <c r="N1" s="126"/>
      <c r="O1" s="126"/>
      <c r="P1" s="126"/>
      <c r="Q1" s="126"/>
      <c r="R1" s="126"/>
      <c r="S1" s="126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6"/>
      <c r="AF1" s="126"/>
      <c r="AG1" s="782"/>
      <c r="AH1" s="782"/>
      <c r="AI1" s="742"/>
      <c r="AJ1" s="742"/>
      <c r="AK1" s="83"/>
      <c r="AL1" s="83"/>
      <c r="AM1" s="127"/>
      <c r="AN1" s="127"/>
      <c r="AO1" s="127"/>
      <c r="AP1" s="127"/>
      <c r="AQ1" s="127"/>
      <c r="AR1" s="127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9"/>
      <c r="BK1" s="129"/>
    </row>
    <row r="2" spans="2:63" ht="18" customHeight="1" thickBot="1" x14ac:dyDescent="0.55000000000000004">
      <c r="B2" s="797" t="s">
        <v>388</v>
      </c>
      <c r="C2" s="797"/>
      <c r="D2" s="797"/>
      <c r="E2" s="797"/>
      <c r="F2" s="798"/>
      <c r="G2" s="799"/>
      <c r="N2" s="130"/>
      <c r="O2" s="131" t="s">
        <v>406</v>
      </c>
      <c r="P2" s="132">
        <f>MATCH(M6,DyTr_New,0)</f>
        <v>22</v>
      </c>
      <c r="Q2" s="133">
        <f ca="1">MATCH(TRUE,AS4:AS13,0)</f>
        <v>3</v>
      </c>
      <c r="R2" s="134" t="s">
        <v>103</v>
      </c>
      <c r="S2" s="135"/>
      <c r="U2" s="136">
        <f ca="1">MATCH(TRUE,AS4:AS13,0)</f>
        <v>3</v>
      </c>
      <c r="V2" s="137" t="s">
        <v>407</v>
      </c>
      <c r="W2" s="138"/>
      <c r="X2" s="138"/>
      <c r="Y2" s="138"/>
      <c r="Z2" s="783" t="s">
        <v>206</v>
      </c>
      <c r="AA2" s="783"/>
      <c r="AB2" s="127"/>
      <c r="AG2" s="784" t="s">
        <v>75</v>
      </c>
      <c r="AH2" s="784"/>
      <c r="AI2" s="784"/>
      <c r="AJ2" s="784"/>
      <c r="AK2" s="784"/>
      <c r="AL2" s="139" t="s">
        <v>66</v>
      </c>
      <c r="AM2" s="758" t="s">
        <v>65</v>
      </c>
      <c r="AN2" s="758"/>
      <c r="AO2" s="758"/>
      <c r="AP2" s="758"/>
      <c r="AQ2" s="758"/>
      <c r="AR2" s="140"/>
      <c r="AS2" s="141">
        <f ca="1">MATCH(TRUE,AS4:AS13,0)</f>
        <v>3</v>
      </c>
      <c r="AT2" s="141">
        <f ca="1">MATCH(TRUE,AT4:AT13,0)</f>
        <v>3</v>
      </c>
      <c r="AU2" s="759" t="s">
        <v>69</v>
      </c>
      <c r="AV2" s="760"/>
      <c r="AW2" s="142"/>
      <c r="AX2" s="142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9"/>
      <c r="BK2" s="129"/>
    </row>
    <row r="3" spans="2:63" ht="18" customHeight="1" x14ac:dyDescent="0.3">
      <c r="B3" s="143"/>
      <c r="C3" s="143"/>
      <c r="D3" s="144"/>
      <c r="E3" s="143"/>
      <c r="F3" s="145"/>
      <c r="G3" s="145"/>
      <c r="L3" s="146" t="s">
        <v>70</v>
      </c>
      <c r="M3" s="147" t="s">
        <v>90</v>
      </c>
      <c r="N3" s="148" t="s">
        <v>97</v>
      </c>
      <c r="O3" s="149"/>
      <c r="P3" s="150" t="s">
        <v>93</v>
      </c>
      <c r="Q3" s="150" t="s">
        <v>92</v>
      </c>
      <c r="R3" s="150" t="s">
        <v>408</v>
      </c>
      <c r="S3" s="66" t="s">
        <v>61</v>
      </c>
      <c r="T3" s="15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151" t="s">
        <v>351</v>
      </c>
      <c r="AH3" s="151" t="s">
        <v>352</v>
      </c>
      <c r="AI3" s="151" t="s">
        <v>353</v>
      </c>
      <c r="AJ3" s="151" t="s">
        <v>418</v>
      </c>
      <c r="AK3" s="151" t="s">
        <v>419</v>
      </c>
      <c r="AL3" s="151"/>
      <c r="AM3" s="151" t="s">
        <v>351</v>
      </c>
      <c r="AN3" s="151" t="s">
        <v>352</v>
      </c>
      <c r="AO3" s="151" t="s">
        <v>353</v>
      </c>
      <c r="AP3" s="151" t="s">
        <v>418</v>
      </c>
      <c r="AQ3" s="151" t="s">
        <v>419</v>
      </c>
      <c r="AR3" s="151" t="s">
        <v>67</v>
      </c>
      <c r="AS3" s="151" t="s">
        <v>230</v>
      </c>
      <c r="AT3" s="151" t="s">
        <v>231</v>
      </c>
      <c r="AU3" s="152" t="s">
        <v>409</v>
      </c>
      <c r="AV3" s="153" t="str">
        <f ca="1">IF(ISERROR(AS2),IF(ISERROR(AT2),"НЕТ",OFFSET(Q4,AT2-1,0,1)&amp;"-"&amp;OFFSET(AR4,AT2-1,0,1)&amp;"-Фланец"),OFFSET(Q4,AS2-1,0,1)&amp;"-"&amp;OFFSET(AR4,AS2-1,0,1)&amp;"-Cэндвич")</f>
        <v>ПРЭМ-25-D-Cэндвич</v>
      </c>
      <c r="AX3" s="154" t="str">
        <f ca="1">IF(ISERROR(AS2),IF(ISERROR(AT2),"НЕТ",OFFSET(Q4,AT2-1,0,1)&amp;"-"&amp;OFFSET(AR4,AT2-1,0,1)),OFFSET(Q4,AS2-1,0,1)&amp;"-"&amp;OFFSET(AR4,AS2-1,0,1))</f>
        <v>ПРЭМ-25-D</v>
      </c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9"/>
      <c r="BK3" s="129"/>
    </row>
    <row r="4" spans="2:63" ht="18" customHeight="1" x14ac:dyDescent="0.3">
      <c r="B4" s="155" t="s">
        <v>117</v>
      </c>
      <c r="C4" s="788"/>
      <c r="D4" s="789"/>
      <c r="E4" s="790"/>
      <c r="F4" s="156"/>
      <c r="G4" s="156"/>
      <c r="L4" s="157" t="s">
        <v>74</v>
      </c>
      <c r="M4" s="158">
        <v>0.5</v>
      </c>
      <c r="N4" s="149">
        <f ca="1">OFFSET(DyTr_New,P2-1,1,1)</f>
        <v>7</v>
      </c>
      <c r="O4" s="149">
        <v>1</v>
      </c>
      <c r="P4" s="159" t="str">
        <f ca="1">IF(O4&lt;=$N$4,OFFSET(DyTr_New,$P$2-2+O4,4,1),"---")</f>
        <v>15-65</v>
      </c>
      <c r="Q4" s="159" t="str">
        <f t="shared" ref="Q4:Q13" ca="1" si="0">IF(O4&lt;=$N$4,OFFSET(DyTr_New,$P$2-2+O4,2,1),"---")</f>
        <v>ПРЭМ-15</v>
      </c>
      <c r="R4" s="159">
        <f t="shared" ref="R4:R13" ca="1" si="1">IF(O4&lt;=$N$4,OFFSET(DyTr_New,$P$2-2+O4,5,1),"---")</f>
        <v>15</v>
      </c>
      <c r="S4" s="159" t="str">
        <f t="shared" ref="S4:S13" ca="1" si="2">IF(O4&lt;=$N$4,OFFSET(DyTr_New,$P$2-2+O4,6,1),"---")</f>
        <v>31,04</v>
      </c>
      <c r="T4" s="159">
        <f ca="1">IF(O4&lt;=$N$4,($M$7/3.6)/((PI()*R4^2)/4000),"---")</f>
        <v>7.8595033625627329</v>
      </c>
      <c r="U4" s="160">
        <f t="shared" ref="U4:U13" ca="1" si="3">IF(O4&lt;=$N$4,(T4*R4/$M$9/1000),"---")</f>
        <v>82573.068267172537</v>
      </c>
      <c r="V4" s="160">
        <f t="shared" ref="V4:V13" ca="1" si="4">IF(O4&lt;=$N$4,(1/(1.14+2*LOG((R4/$M$4),10))^2),"---")</f>
        <v>5.9655827422120798E-2</v>
      </c>
      <c r="W4" s="159">
        <f t="shared" ref="W4:W13" ca="1" si="5">IF(O4&lt;=$N$4,(IF(S4=0,0,(V4/(8*SIN(RADIANS(S4/2))))*(1-(R4/$M$6)^4))),"---")</f>
        <v>2.7789732487806255E-2</v>
      </c>
      <c r="X4" s="159">
        <f t="shared" ref="X4:X13" ca="1" si="6">IF(O4&lt;=$N$4,(3.2*TAN(RADIANS(S4/2))^1.25*(1-(R4/$M$6)^2)^2),"---")</f>
        <v>0.5782123280878656</v>
      </c>
      <c r="Y4" s="159">
        <f t="shared" ref="Y4:Y13" ca="1" si="7">IF(O4&lt;=$N$4,(IF(S4=0,0,V4/(8*SIN(RADIANS(S4/2)))*(1-(R4/$M$6)^4))),"---")</f>
        <v>2.7789732487806255E-2</v>
      </c>
      <c r="Z4" s="161">
        <f t="shared" ref="Z4:Z13" ca="1" si="8">IF(O4&lt;=$N$4,VLOOKUP(Q4&amp;"-Сэндвич",TypePFlow,3,FALSE),"---")</f>
        <v>0</v>
      </c>
      <c r="AA4" s="161">
        <f t="shared" ref="AA4:AA13" ca="1" si="9">IF(O4&lt;=$N$4,VLOOKUP(Q4&amp;"-Фланец",TypePFlow,3,FALSE),"---")</f>
        <v>0</v>
      </c>
      <c r="AB4" s="159">
        <f t="shared" ref="AB4:AB13" ca="1" si="10">IF(O4&lt;=$N$4,(V4*4+W4+X4+Y4)*T4^2/(2*9.81),"--")</f>
        <v>2.7467199403599176</v>
      </c>
      <c r="AC4" s="162">
        <f t="shared" ref="AC4:AC13" ca="1" si="11">IF(O4&lt;=$N$4,(Z4*$M$7^2),"--")</f>
        <v>0</v>
      </c>
      <c r="AD4" s="159">
        <f t="shared" ref="AD4:AD13" ca="1" si="12">IF(O4&lt;=$N$4,(AA4*$M$7^2),"--")</f>
        <v>0</v>
      </c>
      <c r="AE4" s="159">
        <f t="shared" ref="AE4:AE13" ca="1" si="13">IF(O4&lt;=$N$4,(AB4+AC4),"---")</f>
        <v>2.7467199403599176</v>
      </c>
      <c r="AF4" s="159">
        <f t="shared" ref="AF4:AF13" ca="1" si="14">IF(O4&lt;=$N$4,(AB4+AD4),"---")</f>
        <v>2.7467199403599176</v>
      </c>
      <c r="AG4" s="163">
        <f t="shared" ref="AG4:AG13" ca="1" si="15">IF(O4&lt;=$N$4,VLOOKUP(Q4&amp;"-D",ParamPiterflow,2,FALSE),"---")</f>
        <v>0.04</v>
      </c>
      <c r="AH4" s="163">
        <f t="shared" ref="AH4:AH13" ca="1" si="16">IF(O4&lt;=$N$4,VLOOKUP(Q4&amp;"-C1",ParamPiterflow,2,FALSE),"---")</f>
        <v>2.4E-2</v>
      </c>
      <c r="AI4" s="163">
        <f t="shared" ref="AI4:AI13" ca="1" si="17">IF(O4&lt;=$N$4,VLOOKUP(Q4&amp;"-B1",ParamPiterflow,2,FALSE),"---")</f>
        <v>1.2999999999999999E-2</v>
      </c>
      <c r="AJ4" s="163">
        <f t="shared" ref="AJ4:AJ13" ca="1" si="18">IF(O4&lt;=$N$4,VLOOKUP(Q4&amp;"-A1",ParamPiterflow,2,FALSE),"---")</f>
        <v>1.2E-2</v>
      </c>
      <c r="AK4" s="163">
        <f t="shared" ref="AK4:AK13" ca="1" si="19">IF(O4&lt;=$N$4,VLOOKUP(Q4&amp;"-A",ParamPiterflow,2,FALSE),"---")</f>
        <v>6.0000000000000001E-3</v>
      </c>
      <c r="AL4" s="163">
        <f t="shared" ref="AL4:AL13" ca="1" si="20">IF(O4&lt;=$N$4,VLOOKUP(Q4&amp;"-D",ParamPiterflow,4,FALSE),"---")</f>
        <v>6</v>
      </c>
      <c r="AM4" s="164" t="b">
        <f ca="1">IF($O4&lt;=$N$4,AND(AG4&lt;=$M$8,$AL4&gt;=$M$7),"---")</f>
        <v>1</v>
      </c>
      <c r="AN4" s="164" t="b">
        <f ca="1">IF($O4&lt;=$N$4,AND(AH4&lt;=$M$8,$AL4&gt;=$M$7),"---")</f>
        <v>1</v>
      </c>
      <c r="AO4" s="164" t="b">
        <f t="shared" ref="AO4:AO12" ca="1" si="21">IF($O4&lt;=$N$4,AND(AI4&lt;=$M$8,$AL4&gt;=$M$7),"---")</f>
        <v>1</v>
      </c>
      <c r="AP4" s="164" t="b">
        <f t="shared" ref="AP4:AP12" ca="1" si="22">IF($O4&lt;=$N$4,AND(AJ4&lt;=$M$8,$AL4&gt;=$M$7),"---")</f>
        <v>1</v>
      </c>
      <c r="AQ4" s="164" t="b">
        <f ca="1">IF($O4&lt;=$N$4,AND(AK4&lt;=$M$8,$AL4&gt;=$M$7),"---")</f>
        <v>1</v>
      </c>
      <c r="AR4" s="165" t="str">
        <f ca="1">IF($O4&lt;=$N$4,IF(AM4,"D",IF(AN4,"C1",IF(AO4,"B1",IF(AP4,"A1",IF(AQ4,"A","НЕТ"))))),"---")</f>
        <v>D</v>
      </c>
      <c r="AS4" s="165" t="b">
        <f ca="1">IF($O4&lt;=$N$4,AND(AE4&lt;$M$5,NOT(AR4="НЕТ"),IF(AND($E$23="Экономный",OR(AR5="нет",AR5="---")),T4&lt;=5,IF(AND($E$23="Затратный",OR(AR5="нет",AR5="---")),T4&lt;=5,IF(AND($E$23="Оптимальный",OR(AR5="нет",AR5="---")),T4&lt;=5,IF(AND($E$23="Затратный",OR(NOT(AR5="нет"),NOT(AR5="---"))),T4&lt;=1,IF(AND($E$23="Оптимальный",OR(NOT(AR5="нет"),NOT(AR5="---"))),T4&lt;=1.8,IF(AND($E$23="Экономный",OR(NOT(AR5="нет"),NOT(AR5="---"))),T4&lt;=3,T4&lt;=5))))))),"---")</f>
        <v>0</v>
      </c>
      <c r="AT4" s="165" t="b">
        <f ca="1">IF($O4&lt;=$N$4,AND(AF4&lt;$M$5,NOT(AR4="НЕТ"),IF(AND($E$23="Экономный",OR(AR5="нет",AR5="---")),T4&lt;=5,IF(AND($E$23="Затратный",OR(AR5="нет",AR5="---")),T4&lt;=5,IF(AND($E$23="Оптимальный",OR(AR5="нет",AR5="---")),T4&lt;=5,IF(AND($E$23="Затратный",OR(NOT(AR5="нет"),NOT(AR5="---"))),T4&lt;=1,IF(AND($E$23="Оптимальный",OR(NOT(AR5="нет"),NOT(AR5="---"))),T4&lt;=1.8,IF(AND($E$23="Экономный",OR(NOT(AR5="нет"),NOT(AR5="---"))),T4&lt;=3,T4&lt;=5))))))),"---")</f>
        <v>0</v>
      </c>
      <c r="AU4" s="166"/>
      <c r="AV4" s="167"/>
      <c r="AW4" s="142"/>
      <c r="AX4" s="142">
        <f ca="1">IF(ISERROR(AS2),IF(ISERROR(AT2),"НЕТ",AT2),AS2)</f>
        <v>3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29"/>
    </row>
    <row r="5" spans="2:63" ht="18" customHeight="1" x14ac:dyDescent="0.3">
      <c r="B5" s="8"/>
      <c r="C5" s="791"/>
      <c r="D5" s="792"/>
      <c r="E5" s="793"/>
      <c r="F5" s="145"/>
      <c r="G5" s="145"/>
      <c r="L5" s="168" t="s">
        <v>189</v>
      </c>
      <c r="M5" s="169">
        <f>E31</f>
        <v>1</v>
      </c>
      <c r="N5" s="149"/>
      <c r="O5" s="149">
        <v>2</v>
      </c>
      <c r="P5" s="159" t="str">
        <f t="shared" ref="P5:P10" ca="1" si="23">IF(O5&lt;=$N$4,OFFSET(DyTr_New,$P$2-2+O5,4,1),"---")</f>
        <v>20-65</v>
      </c>
      <c r="Q5" s="159" t="str">
        <f t="shared" ca="1" si="0"/>
        <v>ПРЭМ-20</v>
      </c>
      <c r="R5" s="159">
        <f t="shared" ca="1" si="1"/>
        <v>20</v>
      </c>
      <c r="S5" s="159" t="str">
        <f t="shared" ca="1" si="2"/>
        <v>22,14</v>
      </c>
      <c r="T5" s="159">
        <f t="shared" ref="T5:T13" ca="1" si="24">IF(O5&lt;=$N$4,($M$7/3.6)/((PI()*R5^2)/4000),"---")</f>
        <v>4.4209706414415368</v>
      </c>
      <c r="U5" s="160">
        <f t="shared" ca="1" si="3"/>
        <v>61929.801200379385</v>
      </c>
      <c r="V5" s="160">
        <f t="shared" ca="1" si="4"/>
        <v>5.2990299783484442E-2</v>
      </c>
      <c r="W5" s="159">
        <f t="shared" ca="1" si="5"/>
        <v>3.4188221321017266E-2</v>
      </c>
      <c r="X5" s="159">
        <f t="shared" ca="1" si="6"/>
        <v>0.34127548464739393</v>
      </c>
      <c r="Y5" s="159">
        <f t="shared" ca="1" si="7"/>
        <v>3.4188221321017266E-2</v>
      </c>
      <c r="Z5" s="161">
        <f t="shared" ca="1" si="8"/>
        <v>0</v>
      </c>
      <c r="AA5" s="161">
        <f t="shared" ca="1" si="9"/>
        <v>0</v>
      </c>
      <c r="AB5" s="159">
        <f t="shared" ca="1" si="10"/>
        <v>0.61923634055572085</v>
      </c>
      <c r="AC5" s="162">
        <f t="shared" ca="1" si="11"/>
        <v>0</v>
      </c>
      <c r="AD5" s="159">
        <f t="shared" ca="1" si="12"/>
        <v>0</v>
      </c>
      <c r="AE5" s="159">
        <f t="shared" ca="1" si="13"/>
        <v>0.61923634055572085</v>
      </c>
      <c r="AF5" s="159">
        <f t="shared" ca="1" si="14"/>
        <v>0.61923634055572085</v>
      </c>
      <c r="AG5" s="163">
        <f t="shared" ca="1" si="15"/>
        <v>0.08</v>
      </c>
      <c r="AH5" s="163">
        <f t="shared" ca="1" si="16"/>
        <v>4.8000000000000001E-2</v>
      </c>
      <c r="AI5" s="163">
        <f t="shared" ca="1" si="17"/>
        <v>2.7E-2</v>
      </c>
      <c r="AJ5" s="163">
        <f t="shared" ca="1" si="18"/>
        <v>2.4E-2</v>
      </c>
      <c r="AK5" s="163">
        <f t="shared" ca="1" si="19"/>
        <v>1.2E-2</v>
      </c>
      <c r="AL5" s="163">
        <f t="shared" ca="1" si="20"/>
        <v>12</v>
      </c>
      <c r="AM5" s="164" t="b">
        <f t="shared" ref="AM5:AM13" ca="1" si="25">IF($O5&lt;=$N$4,AND(AG5&lt;=$M$8,$AL5&gt;=$M$7),"---")</f>
        <v>1</v>
      </c>
      <c r="AN5" s="164" t="b">
        <f t="shared" ref="AN5:AN13" ca="1" si="26">IF($O5&lt;=$N$4,AND(AH5&lt;=$M$8,$AL5&gt;=$M$7),"---")</f>
        <v>1</v>
      </c>
      <c r="AO5" s="164" t="b">
        <f t="shared" ca="1" si="21"/>
        <v>1</v>
      </c>
      <c r="AP5" s="164" t="b">
        <f t="shared" ca="1" si="22"/>
        <v>1</v>
      </c>
      <c r="AQ5" s="164" t="b">
        <f t="shared" ref="AQ5:AQ13" ca="1" si="27">IF($O5&lt;=$N$4,AND(AK5&lt;=$M$8,$AL5&gt;=$M$7),"---")</f>
        <v>1</v>
      </c>
      <c r="AR5" s="165" t="str">
        <f t="shared" ref="AR5:AR13" ca="1" si="28">IF($O5&lt;=$N$4,IF(AM5,"D",IF(AN5,"C1",IF(AO5,"B1",IF(AP5,"A1",IF(AQ5,"A","НЕТ"))))),"---")</f>
        <v>D</v>
      </c>
      <c r="AS5" s="165" t="b">
        <f t="shared" ref="AS5:AS13" ca="1" si="29">IF($O5&lt;=$N$4,AND(AE5&lt;$M$5,NOT(AR5="НЕТ"),IF(AND($E$23="Экономный",OR(AR6="нет",AR6="---")),T5&lt;=5,IF(AND($E$23="Затратный",OR(AR6="нет",AR6="---")),T5&lt;=5,IF(AND($E$23="Оптимальный",OR(AR6="нет",AR6="---")),T5&lt;=5,IF(AND($E$23="Затратный",OR(NOT(AR6="нет"),NOT(AR6="---"))),T5&lt;=1,IF(AND($E$23="Оптимальный",OR(NOT(AR6="нет"),NOT(AR6="---"))),T5&lt;=1.8,IF(AND($E$23="Экономный",OR(NOT(AR6="нет"),NOT(AR6="---"))),T5&lt;=3,T5&lt;=5))))))),"---")</f>
        <v>0</v>
      </c>
      <c r="AT5" s="165" t="b">
        <f t="shared" ref="AT5:AT13" ca="1" si="30">IF($O5&lt;=$N$4,AND(AF5&lt;$M$5,NOT(AR5="НЕТ"),IF(AND($E$23="Экономный",OR(AR6="нет",AR6="---")),T5&lt;=5,IF(AND($E$23="Затратный",OR(AR6="нет",AR6="---")),T5&lt;=5,IF(AND($E$23="Оптимальный",OR(AR6="нет",AR6="---")),T5&lt;=5,IF(AND($E$23="Затратный",OR(NOT(AR6="нет"),NOT(AR6="---"))),T5&lt;=1,IF(AND($E$23="Оптимальный",OR(NOT(AR6="нет"),NOT(AR6="---"))),T5&lt;=1.8,IF(AND($E$23="Экономный",OR(NOT(AR6="нет"),NOT(AR6="---"))),T5&lt;=3,T5&lt;=5))))))),"---")</f>
        <v>0</v>
      </c>
      <c r="AU5" s="170" t="s">
        <v>18</v>
      </c>
      <c r="AV5" s="171">
        <f ca="1">OFFSET(T4,IF(ISERROR(AS2),IF(ISERROR(AT2),"НЕТ",AT2),AS2)-1,0,1)</f>
        <v>2.8294212105225838</v>
      </c>
      <c r="AW5" s="142"/>
      <c r="AX5" s="142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29"/>
    </row>
    <row r="6" spans="2:63" ht="18" customHeight="1" x14ac:dyDescent="0.4">
      <c r="B6" s="143"/>
      <c r="C6" s="794"/>
      <c r="D6" s="795"/>
      <c r="E6" s="796"/>
      <c r="F6" s="129"/>
      <c r="G6" s="129"/>
      <c r="L6" s="172" t="s">
        <v>410</v>
      </c>
      <c r="M6" s="173">
        <f>$E$32</f>
        <v>65</v>
      </c>
      <c r="N6" s="149"/>
      <c r="O6" s="149">
        <v>3</v>
      </c>
      <c r="P6" s="159" t="str">
        <f t="shared" ca="1" si="23"/>
        <v>25-65</v>
      </c>
      <c r="Q6" s="159" t="str">
        <f t="shared" ca="1" si="0"/>
        <v>ПРЭМ-25</v>
      </c>
      <c r="R6" s="159">
        <f t="shared" ca="1" si="1"/>
        <v>25</v>
      </c>
      <c r="S6" s="159" t="str">
        <f t="shared" ca="1" si="2"/>
        <v>21,56</v>
      </c>
      <c r="T6" s="159">
        <f t="shared" ca="1" si="24"/>
        <v>2.8294212105225838</v>
      </c>
      <c r="U6" s="160">
        <f t="shared" ca="1" si="3"/>
        <v>49543.840960303518</v>
      </c>
      <c r="V6" s="160">
        <f t="shared" ca="1" si="4"/>
        <v>4.8560427292756572E-2</v>
      </c>
      <c r="W6" s="159">
        <f t="shared" ca="1" si="5"/>
        <v>3.1743331141521038E-2</v>
      </c>
      <c r="X6" s="159">
        <f t="shared" ca="1" si="6"/>
        <v>0.29220042087147435</v>
      </c>
      <c r="Y6" s="159">
        <f t="shared" ca="1" si="7"/>
        <v>3.1743331141521038E-2</v>
      </c>
      <c r="Z6" s="161">
        <f t="shared" ca="1" si="8"/>
        <v>0</v>
      </c>
      <c r="AA6" s="161">
        <f t="shared" ca="1" si="9"/>
        <v>0</v>
      </c>
      <c r="AB6" s="159">
        <f t="shared" ca="1" si="10"/>
        <v>0.22438956935321869</v>
      </c>
      <c r="AC6" s="162">
        <f t="shared" ca="1" si="11"/>
        <v>0</v>
      </c>
      <c r="AD6" s="159">
        <f t="shared" ca="1" si="12"/>
        <v>0</v>
      </c>
      <c r="AE6" s="159">
        <f t="shared" ca="1" si="13"/>
        <v>0.22438956935321869</v>
      </c>
      <c r="AF6" s="159">
        <f t="shared" ca="1" si="14"/>
        <v>0.22438956935321869</v>
      </c>
      <c r="AG6" s="163">
        <f t="shared" ca="1" si="15"/>
        <v>0.12</v>
      </c>
      <c r="AH6" s="163">
        <f t="shared" ca="1" si="16"/>
        <v>7.1999999999999995E-2</v>
      </c>
      <c r="AI6" s="163">
        <f t="shared" ca="1" si="17"/>
        <v>0.04</v>
      </c>
      <c r="AJ6" s="163">
        <f t="shared" ca="1" si="18"/>
        <v>3.5999999999999997E-2</v>
      </c>
      <c r="AK6" s="163">
        <f t="shared" ca="1" si="19"/>
        <v>1.7999999999999999E-2</v>
      </c>
      <c r="AL6" s="163">
        <f t="shared" ca="1" si="20"/>
        <v>18</v>
      </c>
      <c r="AM6" s="164" t="b">
        <f t="shared" ca="1" si="25"/>
        <v>1</v>
      </c>
      <c r="AN6" s="164" t="b">
        <f t="shared" ca="1" si="26"/>
        <v>1</v>
      </c>
      <c r="AO6" s="164" t="b">
        <f t="shared" ca="1" si="21"/>
        <v>1</v>
      </c>
      <c r="AP6" s="164" t="b">
        <f t="shared" ca="1" si="22"/>
        <v>1</v>
      </c>
      <c r="AQ6" s="164" t="b">
        <f t="shared" ca="1" si="27"/>
        <v>1</v>
      </c>
      <c r="AR6" s="165" t="str">
        <f t="shared" ca="1" si="28"/>
        <v>D</v>
      </c>
      <c r="AS6" s="165" t="b">
        <f t="shared" ca="1" si="29"/>
        <v>1</v>
      </c>
      <c r="AT6" s="165" t="b">
        <f t="shared" ca="1" si="30"/>
        <v>1</v>
      </c>
      <c r="AU6" s="65" t="s">
        <v>22</v>
      </c>
      <c r="AV6" s="171">
        <f ca="1">IF(ISERROR(AS2),IF(ISERROR(AT2),"НЕТ",OFFSET(AF4,AT2-1,0,1)),OFFSET(AE4,AS2-1,0,1))</f>
        <v>0.22438956935321869</v>
      </c>
      <c r="AW6" s="174"/>
      <c r="AX6" s="78">
        <f ca="1">IF(ISERROR(AS2),IF(ISERROR(AT2),"НЕТ",OFFSET(AF4,AT2-1,0,1)),OFFSET(AE4,AS2-1,0,1))</f>
        <v>0.22438956935321869</v>
      </c>
      <c r="AY6" s="175"/>
      <c r="AZ6" s="175"/>
      <c r="BA6" s="175"/>
      <c r="BB6" s="128"/>
      <c r="BC6" s="128"/>
      <c r="BD6" s="128"/>
      <c r="BE6" s="128"/>
      <c r="BF6" s="128"/>
      <c r="BG6" s="128"/>
      <c r="BH6" s="128"/>
      <c r="BI6" s="128"/>
      <c r="BJ6" s="129"/>
      <c r="BK6" s="129"/>
    </row>
    <row r="7" spans="2:63" ht="15.75" customHeight="1" x14ac:dyDescent="0.4">
      <c r="G7" s="176"/>
      <c r="L7" s="177" t="s">
        <v>71</v>
      </c>
      <c r="M7" s="178">
        <f>E47</f>
        <v>5</v>
      </c>
      <c r="N7" s="149"/>
      <c r="O7" s="149">
        <v>4</v>
      </c>
      <c r="P7" s="159" t="str">
        <f t="shared" ca="1" si="23"/>
        <v>32-65</v>
      </c>
      <c r="Q7" s="159" t="str">
        <f t="shared" ca="1" si="0"/>
        <v>ПРЭМ-32</v>
      </c>
      <c r="R7" s="159">
        <f t="shared" ca="1" si="1"/>
        <v>32</v>
      </c>
      <c r="S7" s="159" t="str">
        <f t="shared" ca="1" si="2"/>
        <v>40,28</v>
      </c>
      <c r="T7" s="159">
        <f t="shared" ca="1" si="24"/>
        <v>1.7269416568131004</v>
      </c>
      <c r="U7" s="160">
        <f t="shared" ca="1" si="3"/>
        <v>38706.125750237123</v>
      </c>
      <c r="V7" s="160">
        <f t="shared" ca="1" si="4"/>
        <v>4.4277322004702871E-2</v>
      </c>
      <c r="W7" s="159">
        <f t="shared" ca="1" si="5"/>
        <v>1.5130175160196956E-2</v>
      </c>
      <c r="X7" s="159">
        <f t="shared" ca="1" si="6"/>
        <v>0.5242223623950496</v>
      </c>
      <c r="Y7" s="159">
        <f t="shared" ca="1" si="7"/>
        <v>1.5130175160196956E-2</v>
      </c>
      <c r="Z7" s="161">
        <f t="shared" ca="1" si="8"/>
        <v>0</v>
      </c>
      <c r="AA7" s="161">
        <f t="shared" ca="1" si="9"/>
        <v>0</v>
      </c>
      <c r="AB7" s="159">
        <f t="shared" ca="1" si="10"/>
        <v>0.11120524629735543</v>
      </c>
      <c r="AC7" s="162">
        <f t="shared" ca="1" si="11"/>
        <v>0</v>
      </c>
      <c r="AD7" s="159">
        <f t="shared" ca="1" si="12"/>
        <v>0</v>
      </c>
      <c r="AE7" s="159">
        <f t="shared" ca="1" si="13"/>
        <v>0.11120524629735543</v>
      </c>
      <c r="AF7" s="159">
        <f t="shared" ca="1" si="14"/>
        <v>0.11120524629735543</v>
      </c>
      <c r="AG7" s="163">
        <f t="shared" ca="1" si="15"/>
        <v>0.2</v>
      </c>
      <c r="AH7" s="163">
        <f t="shared" ca="1" si="16"/>
        <v>0.12</v>
      </c>
      <c r="AI7" s="163">
        <f t="shared" ca="1" si="17"/>
        <v>6.7000000000000004E-2</v>
      </c>
      <c r="AJ7" s="163">
        <f t="shared" ca="1" si="18"/>
        <v>0.06</v>
      </c>
      <c r="AK7" s="163">
        <f t="shared" ca="1" si="19"/>
        <v>0.03</v>
      </c>
      <c r="AL7" s="163">
        <f t="shared" ca="1" si="20"/>
        <v>30</v>
      </c>
      <c r="AM7" s="164" t="b">
        <f t="shared" ca="1" si="25"/>
        <v>1</v>
      </c>
      <c r="AN7" s="164" t="b">
        <f t="shared" ca="1" si="26"/>
        <v>1</v>
      </c>
      <c r="AO7" s="164" t="b">
        <f t="shared" ca="1" si="21"/>
        <v>1</v>
      </c>
      <c r="AP7" s="164" t="b">
        <f t="shared" ca="1" si="22"/>
        <v>1</v>
      </c>
      <c r="AQ7" s="164" t="b">
        <f t="shared" ca="1" si="27"/>
        <v>1</v>
      </c>
      <c r="AR7" s="165" t="str">
        <f t="shared" ca="1" si="28"/>
        <v>D</v>
      </c>
      <c r="AS7" s="165" t="b">
        <f t="shared" ca="1" si="29"/>
        <v>1</v>
      </c>
      <c r="AT7" s="165" t="b">
        <f t="shared" ca="1" si="30"/>
        <v>1</v>
      </c>
      <c r="AU7" s="179"/>
      <c r="AV7" s="180"/>
      <c r="AW7" s="181"/>
      <c r="AX7" s="182"/>
      <c r="AY7" s="41"/>
      <c r="AZ7" s="183"/>
      <c r="BA7" s="183"/>
      <c r="BB7" s="128"/>
      <c r="BC7" s="128"/>
      <c r="BD7" s="128"/>
      <c r="BE7" s="128"/>
      <c r="BF7" s="128"/>
      <c r="BG7" s="128"/>
      <c r="BH7" s="128"/>
      <c r="BI7" s="128"/>
      <c r="BJ7" s="129"/>
      <c r="BK7" s="129"/>
    </row>
    <row r="8" spans="2:63" ht="15.45" x14ac:dyDescent="0.3">
      <c r="L8" s="177" t="s">
        <v>72</v>
      </c>
      <c r="M8" s="178">
        <f>E48</f>
        <v>1</v>
      </c>
      <c r="N8" s="149"/>
      <c r="O8" s="149">
        <v>5</v>
      </c>
      <c r="P8" s="159" t="str">
        <f t="shared" ca="1" si="23"/>
        <v>40-65</v>
      </c>
      <c r="Q8" s="159" t="str">
        <f t="shared" ca="1" si="0"/>
        <v>ПРЭМ-40</v>
      </c>
      <c r="R8" s="159">
        <f t="shared" ca="1" si="1"/>
        <v>40</v>
      </c>
      <c r="S8" s="159" t="str">
        <f t="shared" ca="1" si="2"/>
        <v>23,54</v>
      </c>
      <c r="T8" s="159">
        <f t="shared" ca="1" si="24"/>
        <v>1.1052426603603842</v>
      </c>
      <c r="U8" s="160">
        <f t="shared" ca="1" si="3"/>
        <v>30964.900600189692</v>
      </c>
      <c r="V8" s="160">
        <f t="shared" ca="1" si="4"/>
        <v>4.0875226338606262E-2</v>
      </c>
      <c r="W8" s="159">
        <f t="shared" ca="1" si="5"/>
        <v>2.1455911851478358E-2</v>
      </c>
      <c r="X8" s="159">
        <f t="shared" ca="1" si="6"/>
        <v>0.17389408529732789</v>
      </c>
      <c r="Y8" s="159">
        <f t="shared" ca="1" si="7"/>
        <v>2.1455911851478358E-2</v>
      </c>
      <c r="Z8" s="161">
        <f t="shared" ca="1" si="8"/>
        <v>0</v>
      </c>
      <c r="AA8" s="161">
        <f t="shared" ca="1" si="9"/>
        <v>0</v>
      </c>
      <c r="AB8" s="159">
        <f t="shared" ca="1" si="10"/>
        <v>2.367829261469585E-2</v>
      </c>
      <c r="AC8" s="162">
        <f t="shared" ca="1" si="11"/>
        <v>0</v>
      </c>
      <c r="AD8" s="159">
        <f ca="1">IF(O8&lt;=$N$4,(AA8*$M$7^2),"--")</f>
        <v>0</v>
      </c>
      <c r="AE8" s="159">
        <f t="shared" ca="1" si="13"/>
        <v>2.367829261469585E-2</v>
      </c>
      <c r="AF8" s="159">
        <f t="shared" ca="1" si="14"/>
        <v>2.367829261469585E-2</v>
      </c>
      <c r="AG8" s="163">
        <f t="shared" ca="1" si="15"/>
        <v>0.3</v>
      </c>
      <c r="AH8" s="163">
        <f t="shared" ca="1" si="16"/>
        <v>0.18</v>
      </c>
      <c r="AI8" s="163">
        <f t="shared" ca="1" si="17"/>
        <v>0.1</v>
      </c>
      <c r="AJ8" s="163">
        <f t="shared" ca="1" si="18"/>
        <v>0.09</v>
      </c>
      <c r="AK8" s="163">
        <f t="shared" ca="1" si="19"/>
        <v>4.4999999999999998E-2</v>
      </c>
      <c r="AL8" s="163">
        <f t="shared" ca="1" si="20"/>
        <v>45</v>
      </c>
      <c r="AM8" s="164" t="b">
        <f t="shared" ca="1" si="25"/>
        <v>1</v>
      </c>
      <c r="AN8" s="164" t="b">
        <f t="shared" ca="1" si="26"/>
        <v>1</v>
      </c>
      <c r="AO8" s="164" t="b">
        <f t="shared" ca="1" si="21"/>
        <v>1</v>
      </c>
      <c r="AP8" s="164" t="b">
        <f t="shared" ca="1" si="22"/>
        <v>1</v>
      </c>
      <c r="AQ8" s="164" t="b">
        <f t="shared" ca="1" si="27"/>
        <v>1</v>
      </c>
      <c r="AR8" s="165" t="str">
        <f t="shared" ca="1" si="28"/>
        <v>D</v>
      </c>
      <c r="AS8" s="165" t="b">
        <f t="shared" ca="1" si="29"/>
        <v>1</v>
      </c>
      <c r="AT8" s="165" t="b">
        <f t="shared" ca="1" si="30"/>
        <v>1</v>
      </c>
      <c r="AU8" s="184"/>
      <c r="AV8" s="185"/>
      <c r="AW8" s="186"/>
      <c r="AX8" s="187"/>
      <c r="AY8" s="41"/>
      <c r="AZ8" s="187"/>
      <c r="BA8" s="187"/>
      <c r="BB8" s="128"/>
      <c r="BC8" s="128"/>
      <c r="BD8" s="128"/>
      <c r="BE8" s="128"/>
      <c r="BF8" s="128"/>
      <c r="BG8" s="128"/>
      <c r="BH8" s="128"/>
      <c r="BI8" s="128"/>
      <c r="BJ8" s="129"/>
      <c r="BK8" s="129"/>
    </row>
    <row r="9" spans="2:63" ht="12.75" customHeight="1" x14ac:dyDescent="0.35">
      <c r="L9" s="177" t="s">
        <v>73</v>
      </c>
      <c r="M9" s="188">
        <f>E60</f>
        <v>1.4277360998260247E-6</v>
      </c>
      <c r="N9" s="149"/>
      <c r="O9" s="149">
        <v>6</v>
      </c>
      <c r="P9" s="159" t="str">
        <f t="shared" ca="1" si="23"/>
        <v>50-65</v>
      </c>
      <c r="Q9" s="159" t="str">
        <f t="shared" ca="1" si="0"/>
        <v>ПРЭМ-50</v>
      </c>
      <c r="R9" s="159">
        <f t="shared" ca="1" si="1"/>
        <v>50</v>
      </c>
      <c r="S9" s="159" t="str">
        <f t="shared" ca="1" si="2"/>
        <v>14,26</v>
      </c>
      <c r="T9" s="159">
        <f t="shared" ca="1" si="24"/>
        <v>0.70735530263064594</v>
      </c>
      <c r="U9" s="160">
        <f t="shared" ca="1" si="3"/>
        <v>24771.920480151759</v>
      </c>
      <c r="V9" s="160">
        <f t="shared" ca="1" si="4"/>
        <v>3.7850686611455138E-2</v>
      </c>
      <c r="W9" s="159">
        <f t="shared" ca="1" si="5"/>
        <v>2.4772299282282768E-2</v>
      </c>
      <c r="X9" s="159">
        <f t="shared" ca="1" si="6"/>
        <v>3.9682204611091648E-2</v>
      </c>
      <c r="Y9" s="159">
        <f t="shared" ca="1" si="7"/>
        <v>2.4772299282282768E-2</v>
      </c>
      <c r="Z9" s="161">
        <f t="shared" ca="1" si="8"/>
        <v>0</v>
      </c>
      <c r="AA9" s="161">
        <f t="shared" ca="1" si="9"/>
        <v>0</v>
      </c>
      <c r="AB9" s="159">
        <f t="shared" ca="1" si="10"/>
        <v>6.136562788530418E-3</v>
      </c>
      <c r="AC9" s="162">
        <f t="shared" ca="1" si="11"/>
        <v>0</v>
      </c>
      <c r="AD9" s="159">
        <f t="shared" ca="1" si="12"/>
        <v>0</v>
      </c>
      <c r="AE9" s="159">
        <f t="shared" ca="1" si="13"/>
        <v>6.136562788530418E-3</v>
      </c>
      <c r="AF9" s="159">
        <f t="shared" ca="1" si="14"/>
        <v>6.136562788530418E-3</v>
      </c>
      <c r="AG9" s="163">
        <f t="shared" ca="1" si="15"/>
        <v>0.48</v>
      </c>
      <c r="AH9" s="163">
        <f t="shared" ca="1" si="16"/>
        <v>0.28799999999999998</v>
      </c>
      <c r="AI9" s="163">
        <f t="shared" ca="1" si="17"/>
        <v>0.16</v>
      </c>
      <c r="AJ9" s="163">
        <f t="shared" ca="1" si="18"/>
        <v>0.14399999999999999</v>
      </c>
      <c r="AK9" s="163">
        <f t="shared" ca="1" si="19"/>
        <v>7.1999999999999995E-2</v>
      </c>
      <c r="AL9" s="163">
        <f t="shared" ca="1" si="20"/>
        <v>72</v>
      </c>
      <c r="AM9" s="164" t="b">
        <f t="shared" ca="1" si="25"/>
        <v>1</v>
      </c>
      <c r="AN9" s="164" t="b">
        <f t="shared" ca="1" si="26"/>
        <v>1</v>
      </c>
      <c r="AO9" s="164" t="b">
        <f t="shared" ca="1" si="21"/>
        <v>1</v>
      </c>
      <c r="AP9" s="164" t="b">
        <f t="shared" ca="1" si="22"/>
        <v>1</v>
      </c>
      <c r="AQ9" s="164" t="b">
        <f t="shared" ca="1" si="27"/>
        <v>1</v>
      </c>
      <c r="AR9" s="165" t="str">
        <f t="shared" ca="1" si="28"/>
        <v>D</v>
      </c>
      <c r="AS9" s="165" t="b">
        <f t="shared" ca="1" si="29"/>
        <v>1</v>
      </c>
      <c r="AT9" s="165" t="b">
        <f t="shared" ca="1" si="30"/>
        <v>1</v>
      </c>
      <c r="AU9" s="189"/>
      <c r="AW9" s="190"/>
      <c r="AX9" s="191"/>
      <c r="AY9" s="41"/>
      <c r="AZ9" s="190"/>
      <c r="BA9" s="192"/>
      <c r="BB9" s="128"/>
      <c r="BC9" s="128"/>
      <c r="BD9" s="128"/>
      <c r="BE9" s="128"/>
      <c r="BF9" s="128"/>
      <c r="BG9" s="128"/>
      <c r="BH9" s="128"/>
      <c r="BI9" s="128"/>
      <c r="BJ9" s="129"/>
      <c r="BK9" s="129"/>
    </row>
    <row r="10" spans="2:63" ht="15.45" thickBot="1" x14ac:dyDescent="0.35">
      <c r="F10" s="193" t="s">
        <v>384</v>
      </c>
      <c r="L10" s="194" t="s">
        <v>102</v>
      </c>
      <c r="M10" s="195">
        <f>(M7/3.6)/((PI()*M6^2)/4000)</f>
        <v>0.41855343350925794</v>
      </c>
      <c r="O10" s="149">
        <v>7</v>
      </c>
      <c r="P10" s="159" t="str">
        <f t="shared" ca="1" si="23"/>
        <v>65-65</v>
      </c>
      <c r="Q10" s="159" t="str">
        <f t="shared" ca="1" si="0"/>
        <v>ПРЭМ-65</v>
      </c>
      <c r="R10" s="159">
        <f t="shared" ca="1" si="1"/>
        <v>65</v>
      </c>
      <c r="S10" s="159">
        <f t="shared" ca="1" si="2"/>
        <v>0</v>
      </c>
      <c r="T10" s="159">
        <f t="shared" ca="1" si="24"/>
        <v>0.41855343350925794</v>
      </c>
      <c r="U10" s="160">
        <f t="shared" ca="1" si="3"/>
        <v>19055.32344627058</v>
      </c>
      <c r="V10" s="160">
        <f t="shared" ca="1" si="4"/>
        <v>3.4705101432211762E-2</v>
      </c>
      <c r="W10" s="159">
        <f t="shared" ca="1" si="5"/>
        <v>0</v>
      </c>
      <c r="X10" s="159">
        <f t="shared" ca="1" si="6"/>
        <v>0</v>
      </c>
      <c r="Y10" s="159">
        <f t="shared" ca="1" si="7"/>
        <v>0</v>
      </c>
      <c r="Z10" s="161" t="e">
        <f t="shared" ca="1" si="8"/>
        <v>#N/A</v>
      </c>
      <c r="AA10" s="161">
        <f t="shared" ca="1" si="9"/>
        <v>0</v>
      </c>
      <c r="AB10" s="159">
        <f t="shared" ca="1" si="10"/>
        <v>1.2395273794207793E-3</v>
      </c>
      <c r="AC10" s="162" t="e">
        <f t="shared" ca="1" si="11"/>
        <v>#N/A</v>
      </c>
      <c r="AD10" s="159">
        <f t="shared" ca="1" si="12"/>
        <v>0</v>
      </c>
      <c r="AE10" s="159" t="e">
        <f t="shared" ca="1" si="13"/>
        <v>#N/A</v>
      </c>
      <c r="AF10" s="159">
        <f t="shared" ca="1" si="14"/>
        <v>1.2395273794207793E-3</v>
      </c>
      <c r="AG10" s="163">
        <f t="shared" ca="1" si="15"/>
        <v>0.8</v>
      </c>
      <c r="AH10" s="163">
        <f t="shared" ca="1" si="16"/>
        <v>0.48</v>
      </c>
      <c r="AI10" s="163">
        <f t="shared" ca="1" si="17"/>
        <v>0.26700000000000002</v>
      </c>
      <c r="AJ10" s="163">
        <f t="shared" ca="1" si="18"/>
        <v>0.24</v>
      </c>
      <c r="AK10" s="163">
        <f t="shared" ca="1" si="19"/>
        <v>0.12</v>
      </c>
      <c r="AL10" s="163">
        <f t="shared" ca="1" si="20"/>
        <v>120</v>
      </c>
      <c r="AM10" s="164" t="b">
        <f t="shared" ca="1" si="25"/>
        <v>1</v>
      </c>
      <c r="AN10" s="164" t="b">
        <f t="shared" ca="1" si="26"/>
        <v>1</v>
      </c>
      <c r="AO10" s="164" t="b">
        <f t="shared" ca="1" si="21"/>
        <v>1</v>
      </c>
      <c r="AP10" s="164" t="b">
        <f t="shared" ca="1" si="22"/>
        <v>1</v>
      </c>
      <c r="AQ10" s="164" t="b">
        <f t="shared" ca="1" si="27"/>
        <v>1</v>
      </c>
      <c r="AR10" s="165" t="str">
        <f t="shared" ca="1" si="28"/>
        <v>D</v>
      </c>
      <c r="AS10" s="165" t="e">
        <f t="shared" ca="1" si="29"/>
        <v>#N/A</v>
      </c>
      <c r="AT10" s="165" t="b">
        <f t="shared" ca="1" si="30"/>
        <v>1</v>
      </c>
      <c r="AV10" s="196"/>
      <c r="AX10" s="9"/>
      <c r="AY10" s="41"/>
      <c r="AZ10" s="9"/>
      <c r="BA10" s="9"/>
      <c r="BB10" s="128"/>
      <c r="BC10" s="128"/>
      <c r="BD10" s="128"/>
      <c r="BE10" s="128"/>
      <c r="BF10" s="128"/>
      <c r="BG10" s="128"/>
      <c r="BH10" s="128"/>
      <c r="BI10" s="128"/>
      <c r="BJ10" s="129"/>
      <c r="BK10" s="129"/>
    </row>
    <row r="11" spans="2:63" ht="18" customHeight="1" x14ac:dyDescent="0.3">
      <c r="O11" s="149">
        <v>8</v>
      </c>
      <c r="P11" s="159" t="str">
        <f ca="1">IF(O11&lt;=$N$4,OFFSET(DyTr_New,$P$2-2+O11,4,1),"---")</f>
        <v>---</v>
      </c>
      <c r="Q11" s="159" t="str">
        <f t="shared" ca="1" si="0"/>
        <v>---</v>
      </c>
      <c r="R11" s="159" t="str">
        <f t="shared" ca="1" si="1"/>
        <v>---</v>
      </c>
      <c r="S11" s="159" t="str">
        <f t="shared" ca="1" si="2"/>
        <v>---</v>
      </c>
      <c r="T11" s="159" t="str">
        <f t="shared" ca="1" si="24"/>
        <v>---</v>
      </c>
      <c r="U11" s="160" t="str">
        <f t="shared" ca="1" si="3"/>
        <v>---</v>
      </c>
      <c r="V11" s="160" t="str">
        <f t="shared" ca="1" si="4"/>
        <v>---</v>
      </c>
      <c r="W11" s="159" t="str">
        <f t="shared" ca="1" si="5"/>
        <v>---</v>
      </c>
      <c r="X11" s="159" t="str">
        <f t="shared" ca="1" si="6"/>
        <v>---</v>
      </c>
      <c r="Y11" s="159" t="str">
        <f t="shared" ca="1" si="7"/>
        <v>---</v>
      </c>
      <c r="Z11" s="161" t="str">
        <f t="shared" ca="1" si="8"/>
        <v>---</v>
      </c>
      <c r="AA11" s="161" t="str">
        <f t="shared" ca="1" si="9"/>
        <v>---</v>
      </c>
      <c r="AB11" s="159" t="str">
        <f t="shared" ca="1" si="10"/>
        <v>--</v>
      </c>
      <c r="AC11" s="162" t="str">
        <f t="shared" ca="1" si="11"/>
        <v>--</v>
      </c>
      <c r="AD11" s="159" t="str">
        <f t="shared" ca="1" si="12"/>
        <v>--</v>
      </c>
      <c r="AE11" s="159" t="str">
        <f t="shared" ca="1" si="13"/>
        <v>---</v>
      </c>
      <c r="AF11" s="159" t="str">
        <f t="shared" ca="1" si="14"/>
        <v>---</v>
      </c>
      <c r="AG11" s="163" t="str">
        <f t="shared" ca="1" si="15"/>
        <v>---</v>
      </c>
      <c r="AH11" s="163" t="str">
        <f t="shared" ca="1" si="16"/>
        <v>---</v>
      </c>
      <c r="AI11" s="163" t="str">
        <f t="shared" ca="1" si="17"/>
        <v>---</v>
      </c>
      <c r="AJ11" s="163" t="str">
        <f t="shared" ca="1" si="18"/>
        <v>---</v>
      </c>
      <c r="AK11" s="163" t="str">
        <f t="shared" ca="1" si="19"/>
        <v>---</v>
      </c>
      <c r="AL11" s="163" t="str">
        <f t="shared" ca="1" si="20"/>
        <v>---</v>
      </c>
      <c r="AM11" s="164" t="str">
        <f t="shared" ca="1" si="25"/>
        <v>---</v>
      </c>
      <c r="AN11" s="164" t="str">
        <f t="shared" ca="1" si="26"/>
        <v>---</v>
      </c>
      <c r="AO11" s="164" t="str">
        <f t="shared" ca="1" si="21"/>
        <v>---</v>
      </c>
      <c r="AP11" s="164" t="str">
        <f t="shared" ca="1" si="22"/>
        <v>---</v>
      </c>
      <c r="AQ11" s="164" t="str">
        <f t="shared" ca="1" si="27"/>
        <v>---</v>
      </c>
      <c r="AR11" s="165" t="str">
        <f t="shared" ca="1" si="28"/>
        <v>---</v>
      </c>
      <c r="AS11" s="165" t="str">
        <f t="shared" ca="1" si="29"/>
        <v>---</v>
      </c>
      <c r="AT11" s="165" t="str">
        <f t="shared" ca="1" si="30"/>
        <v>---</v>
      </c>
      <c r="AV11" s="196"/>
      <c r="AY11" s="41"/>
      <c r="AZ11" s="10"/>
      <c r="BA11" s="10"/>
      <c r="BB11" s="128"/>
      <c r="BC11" s="128"/>
      <c r="BD11" s="128"/>
      <c r="BE11" s="128"/>
      <c r="BF11" s="128"/>
      <c r="BG11" s="128"/>
      <c r="BH11" s="128"/>
      <c r="BI11" s="128"/>
      <c r="BJ11" s="129"/>
      <c r="BK11" s="129"/>
    </row>
    <row r="12" spans="2:63" ht="18" customHeight="1" x14ac:dyDescent="0.3">
      <c r="O12" s="149">
        <v>9</v>
      </c>
      <c r="P12" s="159" t="str">
        <f ca="1">IF(O12&lt;=$N$4,OFFSET(DyTr_New,$P$2-2+O12,4,1),"---")</f>
        <v>---</v>
      </c>
      <c r="Q12" s="159" t="str">
        <f t="shared" ca="1" si="0"/>
        <v>---</v>
      </c>
      <c r="R12" s="159" t="str">
        <f t="shared" ca="1" si="1"/>
        <v>---</v>
      </c>
      <c r="S12" s="159" t="str">
        <f t="shared" ca="1" si="2"/>
        <v>---</v>
      </c>
      <c r="T12" s="159" t="str">
        <f t="shared" ca="1" si="24"/>
        <v>---</v>
      </c>
      <c r="U12" s="160" t="str">
        <f t="shared" ca="1" si="3"/>
        <v>---</v>
      </c>
      <c r="V12" s="160" t="str">
        <f t="shared" ca="1" si="4"/>
        <v>---</v>
      </c>
      <c r="W12" s="159" t="str">
        <f t="shared" ca="1" si="5"/>
        <v>---</v>
      </c>
      <c r="X12" s="159" t="str">
        <f t="shared" ca="1" si="6"/>
        <v>---</v>
      </c>
      <c r="Y12" s="159" t="str">
        <f t="shared" ca="1" si="7"/>
        <v>---</v>
      </c>
      <c r="Z12" s="161" t="str">
        <f t="shared" ca="1" si="8"/>
        <v>---</v>
      </c>
      <c r="AA12" s="161" t="str">
        <f t="shared" ca="1" si="9"/>
        <v>---</v>
      </c>
      <c r="AB12" s="159" t="str">
        <f t="shared" ca="1" si="10"/>
        <v>--</v>
      </c>
      <c r="AC12" s="162" t="str">
        <f t="shared" ca="1" si="11"/>
        <v>--</v>
      </c>
      <c r="AD12" s="159" t="str">
        <f t="shared" ca="1" si="12"/>
        <v>--</v>
      </c>
      <c r="AE12" s="159" t="str">
        <f t="shared" ca="1" si="13"/>
        <v>---</v>
      </c>
      <c r="AF12" s="159" t="str">
        <f t="shared" ca="1" si="14"/>
        <v>---</v>
      </c>
      <c r="AG12" s="163" t="str">
        <f t="shared" ca="1" si="15"/>
        <v>---</v>
      </c>
      <c r="AH12" s="163" t="str">
        <f t="shared" ca="1" si="16"/>
        <v>---</v>
      </c>
      <c r="AI12" s="163" t="str">
        <f t="shared" ca="1" si="17"/>
        <v>---</v>
      </c>
      <c r="AJ12" s="163" t="str">
        <f t="shared" ca="1" si="18"/>
        <v>---</v>
      </c>
      <c r="AK12" s="163" t="str">
        <f t="shared" ca="1" si="19"/>
        <v>---</v>
      </c>
      <c r="AL12" s="163" t="str">
        <f t="shared" ca="1" si="20"/>
        <v>---</v>
      </c>
      <c r="AM12" s="164" t="str">
        <f t="shared" ca="1" si="25"/>
        <v>---</v>
      </c>
      <c r="AN12" s="164" t="str">
        <f t="shared" ca="1" si="26"/>
        <v>---</v>
      </c>
      <c r="AO12" s="164" t="str">
        <f t="shared" ca="1" si="21"/>
        <v>---</v>
      </c>
      <c r="AP12" s="164" t="str">
        <f t="shared" ca="1" si="22"/>
        <v>---</v>
      </c>
      <c r="AQ12" s="164" t="str">
        <f t="shared" ca="1" si="27"/>
        <v>---</v>
      </c>
      <c r="AR12" s="165" t="str">
        <f t="shared" ca="1" si="28"/>
        <v>---</v>
      </c>
      <c r="AS12" s="165" t="str">
        <f t="shared" ca="1" si="29"/>
        <v>---</v>
      </c>
      <c r="AT12" s="165" t="str">
        <f t="shared" ca="1" si="30"/>
        <v>---</v>
      </c>
      <c r="AW12" s="41"/>
      <c r="AY12" s="41"/>
      <c r="AZ12" s="10"/>
      <c r="BA12" s="10"/>
      <c r="BB12" s="128"/>
      <c r="BC12" s="128"/>
      <c r="BD12" s="128"/>
      <c r="BE12" s="128"/>
      <c r="BF12" s="128"/>
      <c r="BG12" s="128"/>
      <c r="BH12" s="128"/>
      <c r="BI12" s="128"/>
      <c r="BJ12" s="129"/>
      <c r="BK12" s="129"/>
    </row>
    <row r="13" spans="2:63" ht="18" customHeight="1" x14ac:dyDescent="0.3">
      <c r="O13" s="149">
        <v>10</v>
      </c>
      <c r="P13" s="159" t="str">
        <f ca="1">IF(O13&lt;=$N$4,OFFSET(DyTr_New,$P$2-2+O13,4,1),"---")</f>
        <v>---</v>
      </c>
      <c r="Q13" s="159" t="str">
        <f t="shared" ca="1" si="0"/>
        <v>---</v>
      </c>
      <c r="R13" s="159" t="str">
        <f t="shared" ca="1" si="1"/>
        <v>---</v>
      </c>
      <c r="S13" s="159" t="str">
        <f t="shared" ca="1" si="2"/>
        <v>---</v>
      </c>
      <c r="T13" s="159" t="str">
        <f t="shared" ca="1" si="24"/>
        <v>---</v>
      </c>
      <c r="U13" s="160" t="str">
        <f t="shared" ca="1" si="3"/>
        <v>---</v>
      </c>
      <c r="V13" s="160" t="str">
        <f t="shared" ca="1" si="4"/>
        <v>---</v>
      </c>
      <c r="W13" s="159" t="str">
        <f t="shared" ca="1" si="5"/>
        <v>---</v>
      </c>
      <c r="X13" s="159" t="str">
        <f t="shared" ca="1" si="6"/>
        <v>---</v>
      </c>
      <c r="Y13" s="159" t="str">
        <f t="shared" ca="1" si="7"/>
        <v>---</v>
      </c>
      <c r="Z13" s="161" t="str">
        <f t="shared" ca="1" si="8"/>
        <v>---</v>
      </c>
      <c r="AA13" s="161" t="str">
        <f t="shared" ca="1" si="9"/>
        <v>---</v>
      </c>
      <c r="AB13" s="159" t="str">
        <f t="shared" ca="1" si="10"/>
        <v>--</v>
      </c>
      <c r="AC13" s="162" t="str">
        <f t="shared" ca="1" si="11"/>
        <v>--</v>
      </c>
      <c r="AD13" s="159" t="str">
        <f t="shared" ca="1" si="12"/>
        <v>--</v>
      </c>
      <c r="AE13" s="159" t="str">
        <f t="shared" ca="1" si="13"/>
        <v>---</v>
      </c>
      <c r="AF13" s="159" t="str">
        <f t="shared" ca="1" si="14"/>
        <v>---</v>
      </c>
      <c r="AG13" s="163" t="str">
        <f t="shared" ca="1" si="15"/>
        <v>---</v>
      </c>
      <c r="AH13" s="163" t="str">
        <f t="shared" ca="1" si="16"/>
        <v>---</v>
      </c>
      <c r="AI13" s="163" t="str">
        <f t="shared" ca="1" si="17"/>
        <v>---</v>
      </c>
      <c r="AJ13" s="163" t="str">
        <f t="shared" ca="1" si="18"/>
        <v>---</v>
      </c>
      <c r="AK13" s="163" t="str">
        <f t="shared" ca="1" si="19"/>
        <v>---</v>
      </c>
      <c r="AL13" s="163" t="str">
        <f t="shared" ca="1" si="20"/>
        <v>---</v>
      </c>
      <c r="AM13" s="164" t="str">
        <f t="shared" ca="1" si="25"/>
        <v>---</v>
      </c>
      <c r="AN13" s="164" t="str">
        <f t="shared" ca="1" si="26"/>
        <v>---</v>
      </c>
      <c r="AO13" s="164" t="str">
        <f ca="1">IF($O13&lt;=$N$4,AND(AI13&lt;=$M$8,$AL13&gt;=$M$7),"---")</f>
        <v>---</v>
      </c>
      <c r="AP13" s="164" t="str">
        <f ca="1">IF($O13&lt;=$N$4,AND(AJ13&lt;=$M$8,$AL13&gt;=$M$7),"---")</f>
        <v>---</v>
      </c>
      <c r="AQ13" s="164" t="str">
        <f t="shared" ca="1" si="27"/>
        <v>---</v>
      </c>
      <c r="AR13" s="165" t="str">
        <f t="shared" ca="1" si="28"/>
        <v>---</v>
      </c>
      <c r="AS13" s="165" t="str">
        <f t="shared" ca="1" si="29"/>
        <v>---</v>
      </c>
      <c r="AT13" s="165" t="str">
        <f t="shared" ca="1" si="30"/>
        <v>---</v>
      </c>
      <c r="AW13" s="41"/>
      <c r="AY13" s="41"/>
      <c r="AZ13" s="10"/>
      <c r="BA13" s="10"/>
      <c r="BB13" s="128"/>
      <c r="BC13" s="128"/>
      <c r="BD13" s="128"/>
      <c r="BE13" s="128"/>
      <c r="BF13" s="128"/>
      <c r="BG13" s="128"/>
      <c r="BH13" s="128"/>
      <c r="BI13" s="128"/>
      <c r="BJ13" s="129"/>
      <c r="BK13" s="129"/>
    </row>
    <row r="14" spans="2:63" ht="18" customHeight="1" x14ac:dyDescent="0.3">
      <c r="Q14" s="197"/>
      <c r="AN14" s="198"/>
      <c r="AO14" s="198"/>
      <c r="AP14" s="198"/>
      <c r="AQ14" s="198"/>
      <c r="AU14" s="128"/>
      <c r="AV14" s="128"/>
      <c r="AW14" s="10"/>
      <c r="AX14" s="10"/>
      <c r="AY14" s="41"/>
      <c r="AZ14" s="10"/>
      <c r="BA14" s="10"/>
      <c r="BB14" s="128"/>
      <c r="BC14" s="128"/>
      <c r="BD14" s="128"/>
      <c r="BE14" s="128"/>
      <c r="BF14" s="128"/>
      <c r="BG14" s="128"/>
      <c r="BH14" s="128"/>
      <c r="BI14" s="128"/>
      <c r="BJ14" s="129"/>
      <c r="BK14" s="129"/>
    </row>
    <row r="15" spans="2:63" ht="18" customHeight="1" x14ac:dyDescent="0.4">
      <c r="J15" s="79"/>
      <c r="K15" s="79"/>
      <c r="AN15" s="198"/>
      <c r="AO15" s="198"/>
      <c r="AP15" s="198"/>
      <c r="AQ15" s="198"/>
      <c r="AU15" s="128"/>
      <c r="AV15" s="128"/>
      <c r="AW15" s="10"/>
      <c r="AX15" s="10"/>
      <c r="AY15" s="41"/>
      <c r="AZ15" s="10"/>
      <c r="BA15" s="10"/>
      <c r="BB15" s="128"/>
      <c r="BC15" s="128"/>
      <c r="BD15" s="128"/>
      <c r="BE15" s="128"/>
      <c r="BF15" s="128"/>
      <c r="BG15" s="128"/>
      <c r="BH15" s="128"/>
      <c r="BI15" s="128"/>
      <c r="BJ15" s="129"/>
      <c r="BK15" s="129"/>
    </row>
    <row r="16" spans="2:63" ht="18" customHeight="1" x14ac:dyDescent="0.4">
      <c r="J16" s="199"/>
      <c r="K16" s="199"/>
      <c r="L16" s="149" t="s">
        <v>448</v>
      </c>
      <c r="M16" s="149" t="s">
        <v>449</v>
      </c>
      <c r="AN16" s="198"/>
      <c r="AO16" s="198"/>
      <c r="AP16" s="198"/>
      <c r="AQ16" s="198"/>
      <c r="AU16" s="128"/>
      <c r="AV16" s="128"/>
      <c r="AW16" s="10"/>
      <c r="AX16" s="10"/>
      <c r="AY16" s="41"/>
      <c r="AZ16" s="10"/>
      <c r="BA16" s="10"/>
      <c r="BB16" s="128"/>
      <c r="BC16" s="128"/>
      <c r="BD16" s="128"/>
      <c r="BE16" s="128"/>
      <c r="BF16" s="128"/>
      <c r="BG16" s="128"/>
      <c r="BH16" s="128"/>
      <c r="BI16" s="128"/>
      <c r="BJ16" s="129"/>
      <c r="BK16" s="129"/>
    </row>
    <row r="17" spans="2:63" ht="17.600000000000001" x14ac:dyDescent="0.4">
      <c r="J17" s="199"/>
      <c r="K17" s="199"/>
      <c r="L17" s="743"/>
      <c r="M17" s="149" t="s">
        <v>450</v>
      </c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9"/>
      <c r="BK17" s="129"/>
    </row>
    <row r="18" spans="2:63" ht="17.600000000000001" x14ac:dyDescent="0.4">
      <c r="J18" s="199"/>
      <c r="K18" s="199"/>
      <c r="L18" s="744"/>
      <c r="M18" s="745" t="s">
        <v>451</v>
      </c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9"/>
      <c r="BK18" s="129"/>
    </row>
    <row r="19" spans="2:63" ht="17.600000000000001" x14ac:dyDescent="0.4">
      <c r="J19" s="199"/>
      <c r="K19" s="199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9"/>
      <c r="BK19" s="129"/>
    </row>
    <row r="20" spans="2:63" ht="17.600000000000001" x14ac:dyDescent="0.4">
      <c r="J20" s="199"/>
      <c r="K20" s="199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9"/>
      <c r="BK20" s="129"/>
    </row>
    <row r="21" spans="2:63" x14ac:dyDescent="0.3">
      <c r="J21" s="128"/>
      <c r="K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9"/>
      <c r="BK21" s="129"/>
    </row>
    <row r="22" spans="2:63" ht="18" thickBot="1" x14ac:dyDescent="0.45">
      <c r="J22" s="79"/>
      <c r="K22" s="79"/>
      <c r="AU22" s="127"/>
      <c r="AV22" s="200"/>
      <c r="AW22" s="200"/>
      <c r="AX22" s="200"/>
      <c r="AY22" s="127"/>
      <c r="AZ22" s="127"/>
      <c r="BA22" s="127"/>
      <c r="BB22" s="127"/>
      <c r="BC22" s="200"/>
      <c r="BD22" s="200"/>
      <c r="BE22" s="127"/>
      <c r="BF22" s="127"/>
      <c r="BG22" s="127"/>
      <c r="BH22" s="127"/>
      <c r="BI22" s="200"/>
      <c r="BJ22" s="129"/>
      <c r="BK22" s="129"/>
    </row>
    <row r="23" spans="2:63" ht="25" customHeight="1" thickBot="1" x14ac:dyDescent="0.45">
      <c r="B23" s="800" t="s">
        <v>447</v>
      </c>
      <c r="C23" s="801"/>
      <c r="D23" s="801"/>
      <c r="E23" s="749" t="s">
        <v>449</v>
      </c>
      <c r="G23" s="79"/>
      <c r="H23" s="83"/>
      <c r="I23" s="83"/>
      <c r="J23" s="128"/>
      <c r="K23" s="12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29"/>
      <c r="BK23" s="129"/>
    </row>
    <row r="24" spans="2:63" ht="18" thickBot="1" x14ac:dyDescent="0.45">
      <c r="F24" s="80"/>
      <c r="G24" s="80"/>
      <c r="H24" s="80"/>
      <c r="I24" s="80"/>
      <c r="J24" s="201"/>
      <c r="K24" s="201"/>
      <c r="L24" s="201"/>
      <c r="M24" s="129"/>
      <c r="N24" s="202"/>
      <c r="O24" s="128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8"/>
      <c r="AT24" s="12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129"/>
      <c r="BK24" s="129"/>
    </row>
    <row r="25" spans="2:63" s="204" customFormat="1" ht="25" customHeight="1" thickBot="1" x14ac:dyDescent="0.35">
      <c r="B25" s="777" t="s">
        <v>17</v>
      </c>
      <c r="C25" s="778"/>
      <c r="D25" s="778"/>
      <c r="E25" s="203"/>
      <c r="F25" s="110"/>
      <c r="G25" s="111"/>
      <c r="H25" s="110"/>
      <c r="I25" s="110"/>
      <c r="J25" s="201"/>
      <c r="K25" s="201"/>
      <c r="L25" s="201"/>
      <c r="N25" s="143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3"/>
      <c r="AT25" s="143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</row>
    <row r="26" spans="2:63" ht="17.600000000000001" x14ac:dyDescent="0.4">
      <c r="B26" s="779" t="s">
        <v>391</v>
      </c>
      <c r="C26" s="780"/>
      <c r="D26" s="781"/>
      <c r="E26" s="118" t="s">
        <v>382</v>
      </c>
      <c r="F26" s="81"/>
      <c r="G26" s="82"/>
      <c r="H26" s="205"/>
      <c r="I26" s="205"/>
      <c r="J26" s="201"/>
      <c r="K26" s="201"/>
      <c r="L26" s="201"/>
      <c r="M26" s="129"/>
      <c r="N26" s="206"/>
      <c r="O26" s="12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128"/>
      <c r="AT26" s="128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29"/>
      <c r="BK26" s="129"/>
    </row>
    <row r="27" spans="2:63" ht="17.600000000000001" x14ac:dyDescent="0.4">
      <c r="B27" s="765" t="s">
        <v>68</v>
      </c>
      <c r="C27" s="768"/>
      <c r="D27" s="769"/>
      <c r="E27" s="124">
        <v>2</v>
      </c>
      <c r="F27" s="81"/>
      <c r="G27" s="81"/>
      <c r="H27" s="205"/>
      <c r="I27" s="205"/>
      <c r="J27" s="79"/>
      <c r="K27" s="79"/>
      <c r="L27" s="79"/>
      <c r="M27" s="129"/>
      <c r="N27" s="206"/>
      <c r="O27" s="12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128"/>
      <c r="AT27" s="128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129"/>
      <c r="BK27" s="129"/>
    </row>
    <row r="28" spans="2:63" ht="17.600000000000001" x14ac:dyDescent="0.4">
      <c r="B28" s="765" t="s">
        <v>389</v>
      </c>
      <c r="C28" s="766"/>
      <c r="D28" s="767"/>
      <c r="E28" s="124">
        <v>5</v>
      </c>
      <c r="F28" s="55"/>
      <c r="G28" s="55"/>
      <c r="H28" s="205"/>
      <c r="I28" s="205"/>
      <c r="J28" s="201"/>
      <c r="K28" s="201"/>
      <c r="L28" s="201"/>
      <c r="M28" s="129"/>
      <c r="N28" s="128"/>
      <c r="O28" s="208"/>
      <c r="P28" s="128"/>
      <c r="Q28" s="209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70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29"/>
      <c r="BK28" s="129"/>
    </row>
    <row r="29" spans="2:63" ht="17.600000000000001" x14ac:dyDescent="0.4">
      <c r="B29" s="765" t="s">
        <v>390</v>
      </c>
      <c r="C29" s="766"/>
      <c r="D29" s="767"/>
      <c r="E29" s="124">
        <v>1</v>
      </c>
      <c r="G29" s="83"/>
      <c r="H29" s="205"/>
      <c r="I29" s="205"/>
      <c r="J29" s="201"/>
      <c r="K29" s="201"/>
      <c r="L29" s="201"/>
      <c r="M29" s="129"/>
      <c r="N29" s="210"/>
      <c r="O29" s="127"/>
      <c r="P29" s="211"/>
      <c r="Q29" s="211"/>
      <c r="R29" s="212"/>
      <c r="S29" s="211"/>
      <c r="T29" s="211"/>
      <c r="U29" s="212"/>
      <c r="V29" s="211"/>
      <c r="W29" s="211"/>
      <c r="X29" s="212"/>
      <c r="Y29" s="211"/>
      <c r="Z29" s="211"/>
      <c r="AA29" s="212"/>
      <c r="AB29" s="211"/>
      <c r="AC29" s="211"/>
      <c r="AD29" s="212"/>
      <c r="AE29" s="211"/>
      <c r="AF29" s="211"/>
      <c r="AG29" s="70"/>
      <c r="AH29" s="211"/>
      <c r="AI29" s="211"/>
      <c r="AJ29" s="211"/>
      <c r="AK29" s="211"/>
      <c r="AL29" s="212"/>
      <c r="AM29" s="211"/>
      <c r="AN29" s="211"/>
      <c r="AO29" s="211"/>
      <c r="AP29" s="211"/>
      <c r="AQ29" s="211"/>
      <c r="AR29" s="211"/>
      <c r="AS29" s="128"/>
      <c r="AT29" s="12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29"/>
      <c r="BK29" s="129"/>
    </row>
    <row r="30" spans="2:63" ht="17.600000000000001" x14ac:dyDescent="0.4">
      <c r="B30" s="765" t="s">
        <v>82</v>
      </c>
      <c r="C30" s="768"/>
      <c r="D30" s="769"/>
      <c r="E30" s="77">
        <v>7</v>
      </c>
      <c r="F30" s="55"/>
      <c r="G30" s="83"/>
      <c r="H30" s="205"/>
      <c r="I30" s="205"/>
      <c r="J30" s="199"/>
      <c r="K30" s="201"/>
      <c r="L30" s="201"/>
      <c r="M30" s="129"/>
      <c r="N30" s="210"/>
      <c r="O30" s="127"/>
      <c r="P30" s="211"/>
      <c r="Q30" s="211"/>
      <c r="R30" s="212"/>
      <c r="S30" s="211"/>
      <c r="T30" s="211"/>
      <c r="U30" s="212"/>
      <c r="V30" s="211"/>
      <c r="W30" s="211"/>
      <c r="X30" s="212"/>
      <c r="Y30" s="211"/>
      <c r="Z30" s="211"/>
      <c r="AA30" s="212"/>
      <c r="AB30" s="211"/>
      <c r="AC30" s="211"/>
      <c r="AD30" s="212"/>
      <c r="AE30" s="211"/>
      <c r="AF30" s="211"/>
      <c r="AG30" s="212"/>
      <c r="AH30" s="211"/>
      <c r="AI30" s="211"/>
      <c r="AJ30" s="211"/>
      <c r="AK30" s="211"/>
      <c r="AL30" s="212"/>
      <c r="AM30" s="211"/>
      <c r="AN30" s="211"/>
      <c r="AO30" s="211"/>
      <c r="AP30" s="211"/>
      <c r="AQ30" s="211"/>
      <c r="AR30" s="211"/>
      <c r="AS30" s="128"/>
      <c r="AT30" s="128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129"/>
      <c r="BK30" s="129"/>
    </row>
    <row r="31" spans="2:63" ht="17.600000000000001" x14ac:dyDescent="0.4">
      <c r="B31" s="765" t="s">
        <v>23</v>
      </c>
      <c r="C31" s="768"/>
      <c r="D31" s="769"/>
      <c r="E31" s="25">
        <v>1</v>
      </c>
      <c r="F31" s="83"/>
      <c r="G31" s="83"/>
      <c r="H31" s="83"/>
      <c r="I31" s="83"/>
      <c r="J31" s="199"/>
      <c r="K31" s="201"/>
      <c r="L31" s="201"/>
      <c r="M31" s="129"/>
      <c r="N31" s="210"/>
      <c r="O31" s="127"/>
      <c r="P31" s="211"/>
      <c r="Q31" s="211"/>
      <c r="R31" s="212"/>
      <c r="S31" s="211"/>
      <c r="T31" s="211"/>
      <c r="U31" s="212"/>
      <c r="V31" s="211"/>
      <c r="W31" s="211"/>
      <c r="X31" s="212"/>
      <c r="Y31" s="211"/>
      <c r="Z31" s="211"/>
      <c r="AA31" s="212"/>
      <c r="AB31" s="211"/>
      <c r="AC31" s="211"/>
      <c r="AD31" s="212"/>
      <c r="AE31" s="211"/>
      <c r="AF31" s="211"/>
      <c r="AG31" s="212"/>
      <c r="AH31" s="211"/>
      <c r="AI31" s="211"/>
      <c r="AJ31" s="211"/>
      <c r="AK31" s="211"/>
      <c r="AL31" s="212"/>
      <c r="AM31" s="211"/>
      <c r="AN31" s="211"/>
      <c r="AO31" s="211"/>
      <c r="AP31" s="211"/>
      <c r="AQ31" s="211"/>
      <c r="AR31" s="211"/>
      <c r="AS31" s="128"/>
      <c r="AT31" s="12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29"/>
      <c r="BK31" s="129"/>
    </row>
    <row r="32" spans="2:63" ht="19.5" customHeight="1" x14ac:dyDescent="0.4">
      <c r="B32" s="765" t="s">
        <v>412</v>
      </c>
      <c r="C32" s="768"/>
      <c r="D32" s="769"/>
      <c r="E32" s="15">
        <v>65</v>
      </c>
      <c r="F32" s="80"/>
      <c r="G32" s="80"/>
      <c r="H32" s="80"/>
      <c r="I32" s="80"/>
      <c r="J32" s="199"/>
      <c r="K32" s="201"/>
      <c r="L32" s="201"/>
      <c r="M32" s="129"/>
      <c r="N32" s="210"/>
      <c r="O32" s="127"/>
      <c r="P32" s="211"/>
      <c r="Q32" s="211"/>
      <c r="R32" s="212"/>
      <c r="S32" s="211"/>
      <c r="T32" s="211"/>
      <c r="U32" s="212"/>
      <c r="V32" s="211"/>
      <c r="W32" s="211"/>
      <c r="X32" s="212"/>
      <c r="Y32" s="211"/>
      <c r="Z32" s="211"/>
      <c r="AA32" s="212"/>
      <c r="AB32" s="211"/>
      <c r="AC32" s="211"/>
      <c r="AD32" s="212"/>
      <c r="AE32" s="211"/>
      <c r="AF32" s="211"/>
      <c r="AG32" s="212"/>
      <c r="AH32" s="211"/>
      <c r="AI32" s="211"/>
      <c r="AJ32" s="211"/>
      <c r="AK32" s="211"/>
      <c r="AL32" s="212"/>
      <c r="AM32" s="211"/>
      <c r="AN32" s="211"/>
      <c r="AO32" s="211"/>
      <c r="AP32" s="211"/>
      <c r="AQ32" s="211"/>
      <c r="AR32" s="211"/>
      <c r="AS32" s="128"/>
      <c r="AT32" s="128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129"/>
      <c r="BK32" s="129"/>
    </row>
    <row r="33" spans="2:63" ht="18" thickBot="1" x14ac:dyDescent="0.45">
      <c r="B33" s="785" t="s">
        <v>30</v>
      </c>
      <c r="C33" s="786"/>
      <c r="D33" s="787"/>
      <c r="E33" s="16">
        <v>5</v>
      </c>
      <c r="F33" s="84"/>
      <c r="G33" s="83"/>
      <c r="H33" s="83"/>
      <c r="I33" s="83"/>
      <c r="J33" s="199"/>
      <c r="K33" s="199"/>
      <c r="L33" s="199"/>
      <c r="M33" s="129"/>
      <c r="N33" s="210"/>
      <c r="O33" s="127"/>
      <c r="P33" s="211"/>
      <c r="Q33" s="211"/>
      <c r="R33" s="212"/>
      <c r="S33" s="211"/>
      <c r="T33" s="211"/>
      <c r="U33" s="212"/>
      <c r="V33" s="211"/>
      <c r="W33" s="211"/>
      <c r="X33" s="212"/>
      <c r="Y33" s="211"/>
      <c r="Z33" s="211"/>
      <c r="AA33" s="212"/>
      <c r="AB33" s="211"/>
      <c r="AC33" s="211"/>
      <c r="AD33" s="212"/>
      <c r="AE33" s="211"/>
      <c r="AF33" s="211"/>
      <c r="AG33" s="212"/>
      <c r="AH33" s="211"/>
      <c r="AI33" s="211"/>
      <c r="AJ33" s="211"/>
      <c r="AK33" s="211"/>
      <c r="AL33" s="212"/>
      <c r="AM33" s="211"/>
      <c r="AN33" s="211"/>
      <c r="AO33" s="211"/>
      <c r="AP33" s="211"/>
      <c r="AQ33" s="211"/>
      <c r="AR33" s="211"/>
      <c r="AS33" s="128"/>
      <c r="AT33" s="128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128"/>
      <c r="BJ33" s="129"/>
      <c r="BK33" s="129"/>
    </row>
    <row r="34" spans="2:63" ht="18" thickBot="1" x14ac:dyDescent="0.45">
      <c r="F34" s="33"/>
      <c r="G34" s="83"/>
      <c r="H34" s="201"/>
      <c r="I34" s="201"/>
      <c r="J34" s="199"/>
      <c r="K34" s="199"/>
      <c r="L34" s="199"/>
      <c r="M34" s="129"/>
      <c r="N34" s="210"/>
      <c r="O34" s="127"/>
      <c r="P34" s="211"/>
      <c r="Q34" s="211"/>
      <c r="R34" s="212"/>
      <c r="S34" s="211"/>
      <c r="T34" s="211"/>
      <c r="U34" s="212"/>
      <c r="V34" s="211"/>
      <c r="W34" s="211"/>
      <c r="X34" s="212"/>
      <c r="Y34" s="211"/>
      <c r="Z34" s="211"/>
      <c r="AA34" s="212"/>
      <c r="AB34" s="211"/>
      <c r="AC34" s="211"/>
      <c r="AD34" s="212"/>
      <c r="AE34" s="211"/>
      <c r="AF34" s="211"/>
      <c r="AG34" s="212"/>
      <c r="AH34" s="211"/>
      <c r="AI34" s="211"/>
      <c r="AJ34" s="211"/>
      <c r="AK34" s="211"/>
      <c r="AL34" s="212"/>
      <c r="AM34" s="211"/>
      <c r="AN34" s="211"/>
      <c r="AO34" s="211"/>
      <c r="AP34" s="211"/>
      <c r="AQ34" s="211"/>
      <c r="AR34" s="211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9"/>
      <c r="BK34" s="129"/>
    </row>
    <row r="35" spans="2:63" ht="25" customHeight="1" thickBot="1" x14ac:dyDescent="0.45">
      <c r="B35" s="777" t="s">
        <v>35</v>
      </c>
      <c r="C35" s="778"/>
      <c r="D35" s="778"/>
      <c r="E35" s="213"/>
      <c r="F35" s="55"/>
      <c r="G35" s="83"/>
      <c r="H35" s="201"/>
      <c r="I35" s="201"/>
      <c r="J35" s="128"/>
      <c r="K35" s="199"/>
      <c r="L35" s="199"/>
      <c r="M35" s="129"/>
      <c r="N35" s="210"/>
      <c r="O35" s="127"/>
      <c r="P35" s="211"/>
      <c r="Q35" s="211"/>
      <c r="R35" s="212"/>
      <c r="S35" s="211"/>
      <c r="T35" s="211"/>
      <c r="U35" s="212"/>
      <c r="V35" s="211"/>
      <c r="W35" s="211"/>
      <c r="X35" s="212"/>
      <c r="Y35" s="211"/>
      <c r="Z35" s="211"/>
      <c r="AA35" s="212"/>
      <c r="AB35" s="211"/>
      <c r="AC35" s="211"/>
      <c r="AD35" s="212"/>
      <c r="AE35" s="211"/>
      <c r="AF35" s="211"/>
      <c r="AG35" s="212"/>
      <c r="AH35" s="211"/>
      <c r="AI35" s="211"/>
      <c r="AJ35" s="211"/>
      <c r="AK35" s="211"/>
      <c r="AL35" s="212"/>
      <c r="AM35" s="211"/>
      <c r="AN35" s="211"/>
      <c r="AO35" s="211"/>
      <c r="AP35" s="211"/>
      <c r="AQ35" s="211"/>
      <c r="AR35" s="211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9"/>
      <c r="BK35" s="129"/>
    </row>
    <row r="36" spans="2:63" ht="45" customHeight="1" thickBot="1" x14ac:dyDescent="0.45">
      <c r="B36" s="770" t="s">
        <v>106</v>
      </c>
      <c r="C36" s="771"/>
      <c r="D36" s="772"/>
      <c r="E36" s="120" t="str">
        <f ca="1">AV3</f>
        <v>ПРЭМ-25-D-Cэндвич</v>
      </c>
      <c r="F36" s="81"/>
      <c r="H36" s="201"/>
      <c r="I36" s="201"/>
      <c r="J36" s="128"/>
      <c r="K36" s="199"/>
      <c r="L36" s="199"/>
      <c r="M36" s="129"/>
      <c r="N36" s="210"/>
      <c r="O36" s="127"/>
      <c r="P36" s="211"/>
      <c r="Q36" s="211"/>
      <c r="R36" s="212"/>
      <c r="S36" s="211"/>
      <c r="T36" s="211"/>
      <c r="U36" s="212"/>
      <c r="V36" s="211"/>
      <c r="W36" s="211"/>
      <c r="X36" s="212"/>
      <c r="Y36" s="211"/>
      <c r="Z36" s="211"/>
      <c r="AA36" s="212"/>
      <c r="AB36" s="211"/>
      <c r="AC36" s="211"/>
      <c r="AD36" s="212"/>
      <c r="AE36" s="211"/>
      <c r="AF36" s="211"/>
      <c r="AG36" s="212"/>
      <c r="AH36" s="211"/>
      <c r="AI36" s="211"/>
      <c r="AJ36" s="211"/>
      <c r="AK36" s="211"/>
      <c r="AL36" s="212"/>
      <c r="AM36" s="211"/>
      <c r="AN36" s="211"/>
      <c r="AO36" s="211"/>
      <c r="AP36" s="211"/>
      <c r="AQ36" s="211"/>
      <c r="AR36" s="211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9"/>
      <c r="BK36" s="129"/>
    </row>
    <row r="37" spans="2:63" ht="17.600000000000001" x14ac:dyDescent="0.4">
      <c r="B37" s="773" t="s">
        <v>58</v>
      </c>
      <c r="C37" s="774"/>
      <c r="D37" s="775"/>
      <c r="E37" s="28">
        <f ca="1">VLOOKUP(AX3,ParamPiterflow,4,FALSE)</f>
        <v>18</v>
      </c>
      <c r="F37" s="55"/>
      <c r="G37" s="83"/>
      <c r="H37" s="201"/>
      <c r="I37" s="201"/>
      <c r="J37" s="129"/>
      <c r="K37" s="199"/>
      <c r="L37" s="199"/>
      <c r="M37" s="129"/>
      <c r="N37" s="210"/>
      <c r="O37" s="127"/>
      <c r="P37" s="211"/>
      <c r="Q37" s="211"/>
      <c r="R37" s="212"/>
      <c r="S37" s="211"/>
      <c r="T37" s="211"/>
      <c r="U37" s="212"/>
      <c r="V37" s="211"/>
      <c r="W37" s="211"/>
      <c r="X37" s="212"/>
      <c r="Y37" s="211"/>
      <c r="Z37" s="211"/>
      <c r="AA37" s="212"/>
      <c r="AB37" s="211"/>
      <c r="AC37" s="211"/>
      <c r="AD37" s="212"/>
      <c r="AE37" s="211"/>
      <c r="AF37" s="211"/>
      <c r="AG37" s="212"/>
      <c r="AH37" s="211"/>
      <c r="AI37" s="211"/>
      <c r="AJ37" s="211"/>
      <c r="AK37" s="211"/>
      <c r="AL37" s="212"/>
      <c r="AM37" s="211"/>
      <c r="AN37" s="211"/>
      <c r="AO37" s="211"/>
      <c r="AP37" s="211"/>
      <c r="AQ37" s="211"/>
      <c r="AR37" s="211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9"/>
      <c r="BK37" s="129"/>
    </row>
    <row r="38" spans="2:63" ht="17.600000000000001" x14ac:dyDescent="0.3">
      <c r="B38" s="776" t="s">
        <v>233</v>
      </c>
      <c r="C38" s="774"/>
      <c r="D38" s="775"/>
      <c r="E38" s="30">
        <f ca="1">VLOOKUP(AX3,ParamPiterflow,3,FALSE)</f>
        <v>0.18</v>
      </c>
      <c r="F38" s="33"/>
      <c r="G38" s="83"/>
      <c r="H38" s="201"/>
      <c r="I38" s="201"/>
      <c r="J38" s="129"/>
      <c r="K38" s="128"/>
      <c r="L38" s="128"/>
      <c r="M38" s="129"/>
      <c r="N38" s="210"/>
      <c r="O38" s="127"/>
      <c r="P38" s="211"/>
      <c r="Q38" s="211"/>
      <c r="R38" s="212"/>
      <c r="S38" s="211"/>
      <c r="T38" s="211"/>
      <c r="U38" s="212"/>
      <c r="V38" s="211"/>
      <c r="W38" s="211"/>
      <c r="X38" s="212"/>
      <c r="Y38" s="211"/>
      <c r="Z38" s="211"/>
      <c r="AA38" s="212"/>
      <c r="AB38" s="211"/>
      <c r="AC38" s="211"/>
      <c r="AD38" s="212"/>
      <c r="AE38" s="211"/>
      <c r="AF38" s="211"/>
      <c r="AG38" s="212"/>
      <c r="AH38" s="211"/>
      <c r="AI38" s="211"/>
      <c r="AJ38" s="211"/>
      <c r="AK38" s="211"/>
      <c r="AL38" s="212"/>
      <c r="AM38" s="211"/>
      <c r="AN38" s="211"/>
      <c r="AO38" s="211"/>
      <c r="AP38" s="211"/>
      <c r="AQ38" s="211"/>
      <c r="AR38" s="211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9"/>
      <c r="BK38" s="129"/>
    </row>
    <row r="39" spans="2:63" ht="18" customHeight="1" thickBot="1" x14ac:dyDescent="0.45">
      <c r="B39" s="776" t="s">
        <v>101</v>
      </c>
      <c r="C39" s="774"/>
      <c r="D39" s="775"/>
      <c r="E39" s="32">
        <f ca="1">VLOOKUP(AX3,ParamPiterflow,2,FALSE)</f>
        <v>0.12</v>
      </c>
      <c r="F39" s="33"/>
      <c r="G39" s="83"/>
      <c r="H39" s="201"/>
      <c r="I39" s="201"/>
      <c r="J39" s="129"/>
      <c r="K39" s="128"/>
      <c r="L39" s="128"/>
      <c r="M39" s="129"/>
      <c r="N39" s="210"/>
      <c r="O39" s="127"/>
      <c r="P39" s="211"/>
      <c r="Q39" s="211"/>
      <c r="R39" s="212"/>
      <c r="S39" s="211"/>
      <c r="T39" s="211"/>
      <c r="U39" s="212"/>
      <c r="V39" s="211"/>
      <c r="W39" s="211"/>
      <c r="X39" s="212"/>
      <c r="Y39" s="211"/>
      <c r="Z39" s="211"/>
      <c r="AA39" s="212"/>
      <c r="AB39" s="211"/>
      <c r="AC39" s="211"/>
      <c r="AD39" s="212"/>
      <c r="AE39" s="211"/>
      <c r="AF39" s="211"/>
      <c r="AG39" s="212"/>
      <c r="AH39" s="211"/>
      <c r="AI39" s="211"/>
      <c r="AJ39" s="211"/>
      <c r="AK39" s="211"/>
      <c r="AL39" s="212"/>
      <c r="AM39" s="211"/>
      <c r="AN39" s="211"/>
      <c r="AO39" s="211"/>
      <c r="AP39" s="211"/>
      <c r="AQ39" s="211"/>
      <c r="AR39" s="211"/>
      <c r="AS39" s="128"/>
      <c r="AT39" s="128"/>
      <c r="AU39" s="128"/>
      <c r="AV39" s="128"/>
      <c r="AW39" s="175"/>
      <c r="AX39" s="175"/>
      <c r="AY39" s="175"/>
      <c r="AZ39" s="175"/>
      <c r="BA39" s="175"/>
      <c r="BB39" s="128"/>
      <c r="BC39" s="128"/>
      <c r="BD39" s="128"/>
      <c r="BE39" s="128"/>
      <c r="BF39" s="128"/>
      <c r="BG39" s="128"/>
      <c r="BH39" s="128"/>
      <c r="BI39" s="128"/>
      <c r="BJ39" s="129"/>
      <c r="BK39" s="129"/>
    </row>
    <row r="40" spans="2:63" ht="18" customHeight="1" thickBot="1" x14ac:dyDescent="0.45">
      <c r="F40" s="83"/>
      <c r="G40" s="83"/>
      <c r="H40" s="201"/>
      <c r="I40" s="201"/>
      <c r="J40" s="129"/>
      <c r="K40" s="129"/>
      <c r="L40" s="129"/>
      <c r="M40" s="129"/>
      <c r="N40" s="210"/>
      <c r="O40" s="127"/>
      <c r="P40" s="211"/>
      <c r="Q40" s="211"/>
      <c r="R40" s="212"/>
      <c r="S40" s="211"/>
      <c r="T40" s="211"/>
      <c r="U40" s="212"/>
      <c r="V40" s="211"/>
      <c r="W40" s="211"/>
      <c r="X40" s="212"/>
      <c r="Y40" s="211"/>
      <c r="Z40" s="211"/>
      <c r="AA40" s="212"/>
      <c r="AB40" s="211"/>
      <c r="AC40" s="211"/>
      <c r="AD40" s="212"/>
      <c r="AE40" s="211"/>
      <c r="AF40" s="211"/>
      <c r="AG40" s="212"/>
      <c r="AH40" s="211"/>
      <c r="AI40" s="211"/>
      <c r="AJ40" s="211"/>
      <c r="AK40" s="211"/>
      <c r="AL40" s="212"/>
      <c r="AM40" s="211"/>
      <c r="AN40" s="211"/>
      <c r="AO40" s="211"/>
      <c r="AP40" s="211"/>
      <c r="AQ40" s="211"/>
      <c r="AR40" s="211"/>
      <c r="AS40" s="128"/>
      <c r="AT40" s="128"/>
      <c r="AU40" s="128"/>
      <c r="AV40" s="128"/>
      <c r="AW40" s="183"/>
      <c r="AX40" s="183"/>
      <c r="AY40" s="41"/>
      <c r="AZ40" s="183"/>
      <c r="BA40" s="183"/>
      <c r="BB40" s="128"/>
      <c r="BC40" s="128"/>
      <c r="BD40" s="128"/>
      <c r="BE40" s="128"/>
      <c r="BF40" s="128"/>
      <c r="BG40" s="128"/>
      <c r="BH40" s="128"/>
      <c r="BI40" s="128"/>
      <c r="BJ40" s="129"/>
      <c r="BK40" s="129"/>
    </row>
    <row r="41" spans="2:63" ht="25" customHeight="1" thickBot="1" x14ac:dyDescent="0.45">
      <c r="B41" s="777" t="s">
        <v>107</v>
      </c>
      <c r="C41" s="778"/>
      <c r="D41" s="778"/>
      <c r="E41" s="123"/>
      <c r="F41" s="56"/>
      <c r="G41" s="56"/>
      <c r="H41" s="201"/>
      <c r="I41" s="201"/>
      <c r="J41" s="129"/>
      <c r="K41" s="129"/>
      <c r="L41" s="129"/>
      <c r="M41" s="129"/>
      <c r="N41" s="210"/>
      <c r="O41" s="127"/>
      <c r="P41" s="211"/>
      <c r="Q41" s="211"/>
      <c r="R41" s="212"/>
      <c r="S41" s="211"/>
      <c r="T41" s="211"/>
      <c r="U41" s="212"/>
      <c r="V41" s="211"/>
      <c r="W41" s="211"/>
      <c r="X41" s="212"/>
      <c r="Y41" s="211"/>
      <c r="Z41" s="211"/>
      <c r="AA41" s="212"/>
      <c r="AB41" s="211"/>
      <c r="AC41" s="211"/>
      <c r="AD41" s="212"/>
      <c r="AE41" s="211"/>
      <c r="AF41" s="211"/>
      <c r="AG41" s="212"/>
      <c r="AH41" s="211"/>
      <c r="AI41" s="211"/>
      <c r="AJ41" s="211"/>
      <c r="AK41" s="211"/>
      <c r="AL41" s="212"/>
      <c r="AM41" s="211"/>
      <c r="AN41" s="211"/>
      <c r="AO41" s="211"/>
      <c r="AP41" s="211"/>
      <c r="AQ41" s="211"/>
      <c r="AR41" s="211"/>
      <c r="AS41" s="128"/>
      <c r="AT41" s="128"/>
      <c r="AU41" s="128"/>
      <c r="AV41" s="128"/>
      <c r="AW41" s="186"/>
      <c r="AX41" s="187"/>
      <c r="AY41" s="41"/>
      <c r="AZ41" s="187"/>
      <c r="BA41" s="187"/>
      <c r="BB41" s="128"/>
      <c r="BC41" s="128"/>
      <c r="BD41" s="128"/>
      <c r="BE41" s="128"/>
      <c r="BF41" s="128"/>
      <c r="BG41" s="128"/>
      <c r="BH41" s="128"/>
      <c r="BI41" s="128"/>
      <c r="BJ41" s="129"/>
      <c r="BK41" s="129"/>
    </row>
    <row r="42" spans="2:63" ht="18" customHeight="1" x14ac:dyDescent="0.4">
      <c r="B42" s="779" t="s">
        <v>28</v>
      </c>
      <c r="C42" s="780"/>
      <c r="D42" s="781"/>
      <c r="E42" s="112">
        <f>IF(E26="По нагрузке",1000*$E$27/E30,IF(E26="По расходу, Т/Ч",E28,IF(E26="По расходу, М3/Ч",E28/E46*1000,"нет")))</f>
        <v>4.9546101684367923</v>
      </c>
      <c r="F42" s="54"/>
      <c r="G42" s="54"/>
      <c r="H42" s="80"/>
      <c r="I42" s="80"/>
      <c r="J42" s="129"/>
      <c r="K42" s="129"/>
      <c r="L42" s="129"/>
      <c r="M42" s="129"/>
      <c r="N42" s="214"/>
      <c r="O42" s="215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128"/>
      <c r="AT42" s="128"/>
      <c r="AU42" s="128"/>
      <c r="AV42" s="128"/>
      <c r="AW42" s="190"/>
      <c r="AX42" s="192"/>
      <c r="AY42" s="41"/>
      <c r="AZ42" s="190"/>
      <c r="BA42" s="192"/>
      <c r="BB42" s="128"/>
      <c r="BC42" s="128"/>
      <c r="BD42" s="128"/>
      <c r="BE42" s="128"/>
      <c r="BF42" s="128"/>
      <c r="BG42" s="128"/>
      <c r="BH42" s="128"/>
      <c r="BI42" s="128"/>
      <c r="BJ42" s="129"/>
      <c r="BK42" s="129"/>
    </row>
    <row r="43" spans="2:63" ht="18" customHeight="1" x14ac:dyDescent="0.4">
      <c r="B43" s="765" t="s">
        <v>27</v>
      </c>
      <c r="C43" s="768"/>
      <c r="D43" s="769"/>
      <c r="E43" s="95">
        <f>IF(E26="По нагрузке",E42*0.04,IF(E26="По расходу, Т/Ч",E29,IF(E26="По расходу, М3/Ч",E29/E46*1000,"нет")))</f>
        <v>0.99092203368735843</v>
      </c>
      <c r="F43" s="54"/>
      <c r="G43" s="54"/>
      <c r="I43" s="201"/>
      <c r="J43" s="7"/>
      <c r="K43" s="129"/>
      <c r="L43" s="129"/>
      <c r="M43" s="129"/>
      <c r="N43" s="216"/>
      <c r="O43" s="217"/>
      <c r="P43" s="127"/>
      <c r="Q43" s="128"/>
      <c r="R43" s="128"/>
      <c r="S43" s="128"/>
      <c r="T43" s="128"/>
      <c r="U43" s="128"/>
      <c r="V43" s="127"/>
      <c r="W43" s="128"/>
      <c r="X43" s="128"/>
      <c r="Y43" s="128"/>
      <c r="Z43" s="128"/>
      <c r="AA43" s="128"/>
      <c r="AB43" s="127"/>
      <c r="AC43" s="128"/>
      <c r="AD43" s="128"/>
      <c r="AE43" s="128"/>
      <c r="AF43" s="128"/>
      <c r="AG43" s="128"/>
      <c r="AH43" s="127"/>
      <c r="AI43" s="127"/>
      <c r="AJ43" s="127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41"/>
      <c r="AX43" s="41"/>
      <c r="AY43" s="41"/>
      <c r="AZ43" s="10"/>
      <c r="BA43" s="10"/>
      <c r="BB43" s="128"/>
      <c r="BC43" s="128"/>
      <c r="BD43" s="128"/>
      <c r="BE43" s="128"/>
      <c r="BF43" s="128"/>
      <c r="BG43" s="128"/>
      <c r="BH43" s="128"/>
      <c r="BI43" s="128"/>
      <c r="BJ43" s="129"/>
      <c r="BK43" s="129"/>
    </row>
    <row r="44" spans="2:63" ht="18" customHeight="1" x14ac:dyDescent="0.4">
      <c r="F44" s="57"/>
      <c r="G44" s="83"/>
      <c r="I44" s="201"/>
      <c r="J44" s="129"/>
      <c r="K44" s="129"/>
      <c r="L44" s="129"/>
      <c r="M44" s="129"/>
      <c r="N44" s="128"/>
      <c r="O44" s="218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127"/>
      <c r="AT44" s="127"/>
      <c r="AU44" s="128"/>
      <c r="AV44" s="128"/>
      <c r="AW44" s="10"/>
      <c r="AX44" s="10"/>
      <c r="AY44" s="41"/>
      <c r="AZ44" s="10"/>
      <c r="BA44" s="10"/>
      <c r="BB44" s="128"/>
      <c r="BC44" s="128"/>
      <c r="BD44" s="128"/>
      <c r="BE44" s="128"/>
      <c r="BF44" s="128"/>
      <c r="BG44" s="128"/>
      <c r="BH44" s="128"/>
      <c r="BI44" s="128"/>
      <c r="BJ44" s="129"/>
      <c r="BK44" s="129"/>
    </row>
    <row r="45" spans="2:63" ht="18" customHeight="1" x14ac:dyDescent="0.4">
      <c r="B45" s="765" t="s">
        <v>29</v>
      </c>
      <c r="C45" s="768"/>
      <c r="D45" s="769"/>
      <c r="E45" s="12">
        <f>E30</f>
        <v>7</v>
      </c>
      <c r="F45" s="58"/>
      <c r="G45" s="83"/>
      <c r="I45" s="201"/>
      <c r="J45" s="129"/>
      <c r="K45" s="129"/>
      <c r="L45" s="129"/>
      <c r="M45" s="129"/>
      <c r="N45" s="214"/>
      <c r="O45" s="37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28"/>
      <c r="AV45" s="128"/>
      <c r="AW45" s="41"/>
      <c r="AX45" s="41"/>
      <c r="AY45" s="41"/>
      <c r="AZ45" s="10"/>
      <c r="BA45" s="10"/>
      <c r="BB45" s="128"/>
      <c r="BC45" s="128"/>
      <c r="BD45" s="128"/>
      <c r="BE45" s="128"/>
      <c r="BF45" s="128"/>
      <c r="BG45" s="128"/>
      <c r="BH45" s="128"/>
      <c r="BI45" s="128"/>
      <c r="BJ45" s="129"/>
      <c r="BK45" s="129"/>
    </row>
    <row r="46" spans="2:63" ht="18" customHeight="1" x14ac:dyDescent="0.4">
      <c r="B46" s="762" t="s">
        <v>57</v>
      </c>
      <c r="C46" s="763"/>
      <c r="D46" s="764"/>
      <c r="E46" s="12">
        <f>($E$45*0.01)^5*(-0.0005625*$E$33-1.3864)+($E$45*0.01)^4*(0.054517*$E$33+7.325)+($E$45*0.01)^3*(-0.27408*$E$33-15.474)+($E$45*0.01)^2*(0.52327*$E$33-5.0668)+$E$45*0.01*(-0.42067*$E$33-38.224)+0.16333*$E$33+1011.185</f>
        <v>1009.1611307489663</v>
      </c>
      <c r="F46" s="58"/>
      <c r="G46" s="54"/>
      <c r="H46" s="201"/>
      <c r="I46" s="205"/>
      <c r="J46" s="129"/>
      <c r="K46" s="7"/>
      <c r="L46" s="7"/>
      <c r="M46" s="129"/>
      <c r="N46" s="215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128"/>
      <c r="AV46" s="128"/>
      <c r="AW46" s="10"/>
      <c r="AX46" s="10"/>
      <c r="AY46" s="41"/>
      <c r="AZ46" s="10"/>
      <c r="BA46" s="10"/>
      <c r="BB46" s="128"/>
      <c r="BC46" s="128"/>
      <c r="BD46" s="128"/>
      <c r="BE46" s="128"/>
      <c r="BF46" s="128"/>
      <c r="BG46" s="128"/>
      <c r="BH46" s="128"/>
      <c r="BI46" s="128"/>
      <c r="BJ46" s="129"/>
      <c r="BK46" s="129"/>
    </row>
    <row r="47" spans="2:63" ht="18" customHeight="1" x14ac:dyDescent="0.4">
      <c r="B47" s="762" t="s">
        <v>80</v>
      </c>
      <c r="C47" s="763"/>
      <c r="D47" s="764"/>
      <c r="E47" s="12">
        <f>IF(OR($E$26="По расходу, Т/Ч",$E$26="По нагрузке"),1000*E42/E46,E28)</f>
        <v>5</v>
      </c>
      <c r="F47" s="58"/>
      <c r="G47" s="83"/>
      <c r="H47" s="201"/>
      <c r="I47" s="205"/>
      <c r="J47" s="129"/>
      <c r="K47" s="129"/>
      <c r="L47" s="129"/>
      <c r="M47" s="129"/>
      <c r="N47" s="215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128"/>
      <c r="AV47" s="128"/>
      <c r="AW47" s="10"/>
      <c r="AX47" s="10"/>
      <c r="AY47" s="41"/>
      <c r="AZ47" s="10"/>
      <c r="BA47" s="10"/>
      <c r="BB47" s="128"/>
      <c r="BC47" s="128"/>
      <c r="BD47" s="128"/>
      <c r="BE47" s="128"/>
      <c r="BF47" s="128"/>
      <c r="BG47" s="128"/>
      <c r="BH47" s="128"/>
      <c r="BI47" s="128"/>
      <c r="BJ47" s="129"/>
      <c r="BK47" s="129"/>
    </row>
    <row r="48" spans="2:63" ht="18" customHeight="1" x14ac:dyDescent="0.4">
      <c r="B48" s="762" t="s">
        <v>79</v>
      </c>
      <c r="C48" s="763"/>
      <c r="D48" s="764"/>
      <c r="E48" s="12">
        <f>IF(OR($E$26="По расходу, Т/Ч",$E$26="По нагрузке"),1000*E43/E46,E29)</f>
        <v>1</v>
      </c>
      <c r="F48" s="83"/>
      <c r="G48" s="85"/>
      <c r="H48" s="201"/>
      <c r="I48" s="205"/>
      <c r="J48" s="129"/>
      <c r="K48" s="129"/>
      <c r="L48" s="129"/>
      <c r="M48" s="129"/>
      <c r="N48" s="215"/>
      <c r="O48" s="38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128"/>
      <c r="AV48" s="128"/>
      <c r="AW48" s="10"/>
      <c r="AX48" s="10"/>
      <c r="AY48" s="41"/>
      <c r="AZ48" s="10"/>
      <c r="BA48" s="10"/>
      <c r="BB48" s="128"/>
      <c r="BC48" s="128"/>
      <c r="BD48" s="128"/>
      <c r="BE48" s="128"/>
      <c r="BF48" s="128"/>
      <c r="BG48" s="128"/>
      <c r="BH48" s="128"/>
      <c r="BI48" s="128"/>
      <c r="BJ48" s="129"/>
      <c r="BK48" s="129"/>
    </row>
    <row r="49" spans="2:76" ht="25" customHeight="1" x14ac:dyDescent="0.4">
      <c r="E49" s="86" t="str">
        <f ca="1">IF(OR(E50&gt;3,E51&gt;3.2),"Большая скорость потока!","")</f>
        <v/>
      </c>
      <c r="F49" s="58"/>
      <c r="G49" s="83"/>
      <c r="H49" s="201"/>
      <c r="I49" s="205"/>
      <c r="J49" s="129"/>
      <c r="K49" s="129"/>
      <c r="L49" s="129"/>
      <c r="M49" s="129"/>
      <c r="N49" s="214"/>
      <c r="O49" s="37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9"/>
      <c r="BK49" s="129"/>
    </row>
    <row r="50" spans="2:76" ht="18" customHeight="1" x14ac:dyDescent="0.4">
      <c r="B50" s="762" t="s">
        <v>24</v>
      </c>
      <c r="C50" s="763"/>
      <c r="D50" s="764"/>
      <c r="E50" s="26">
        <f>M10</f>
        <v>0.41855343350925794</v>
      </c>
      <c r="F50" s="59"/>
      <c r="G50" s="83"/>
      <c r="H50" s="205"/>
      <c r="I50" s="205"/>
      <c r="J50" s="129"/>
      <c r="K50" s="129"/>
      <c r="L50" s="129"/>
      <c r="M50" s="129"/>
      <c r="N50" s="127"/>
      <c r="O50" s="37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9"/>
      <c r="BK50" s="129"/>
    </row>
    <row r="51" spans="2:76" ht="18" customHeight="1" x14ac:dyDescent="0.4">
      <c r="B51" s="762" t="s">
        <v>25</v>
      </c>
      <c r="C51" s="763"/>
      <c r="D51" s="764"/>
      <c r="E51" s="12">
        <f ca="1">AV5</f>
        <v>2.8294212105225838</v>
      </c>
      <c r="F51" s="60"/>
      <c r="G51" s="83"/>
      <c r="H51" s="205"/>
      <c r="I51" s="83"/>
      <c r="J51" s="129"/>
      <c r="K51" s="129"/>
      <c r="L51" s="129"/>
      <c r="M51" s="129"/>
      <c r="N51" s="219"/>
      <c r="O51" s="3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9"/>
      <c r="BK51" s="129"/>
    </row>
    <row r="52" spans="2:76" ht="18" customHeight="1" x14ac:dyDescent="0.3">
      <c r="B52" s="762" t="s">
        <v>26</v>
      </c>
      <c r="C52" s="763"/>
      <c r="D52" s="764"/>
      <c r="E52" s="13">
        <f ca="1">AV6</f>
        <v>0.22438956935321869</v>
      </c>
      <c r="F52" s="83"/>
      <c r="G52" s="83"/>
      <c r="H52" s="83"/>
      <c r="J52" s="128"/>
      <c r="K52" s="128"/>
      <c r="L52" s="128"/>
      <c r="M52" s="128"/>
      <c r="N52" s="128"/>
      <c r="O52" s="40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9"/>
      <c r="BK52" s="129"/>
    </row>
    <row r="53" spans="2:76" ht="18" customHeight="1" x14ac:dyDescent="0.3">
      <c r="F53" s="83"/>
      <c r="G53" s="83"/>
      <c r="H53" s="83"/>
      <c r="J53" s="128"/>
      <c r="K53" s="128"/>
      <c r="L53" s="128"/>
      <c r="M53" s="128"/>
      <c r="N53" s="128"/>
      <c r="O53" s="40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9"/>
      <c r="BK53" s="129"/>
    </row>
    <row r="54" spans="2:76" ht="18" customHeight="1" x14ac:dyDescent="0.4">
      <c r="F54" s="220"/>
      <c r="G54" s="83"/>
      <c r="J54" s="128"/>
      <c r="K54" s="128"/>
      <c r="L54" s="128"/>
      <c r="M54" s="128"/>
      <c r="N54" s="128"/>
      <c r="O54" s="37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127"/>
      <c r="AV54" s="200"/>
      <c r="AW54" s="200"/>
      <c r="AX54" s="200"/>
      <c r="AY54" s="127"/>
      <c r="AZ54" s="127"/>
      <c r="BA54" s="127"/>
      <c r="BB54" s="127"/>
      <c r="BC54" s="200"/>
      <c r="BD54" s="200"/>
      <c r="BE54" s="127"/>
      <c r="BF54" s="127"/>
      <c r="BG54" s="127"/>
      <c r="BH54" s="127"/>
      <c r="BI54" s="200"/>
      <c r="BJ54" s="128"/>
      <c r="BK54" s="129"/>
    </row>
    <row r="55" spans="2:76" ht="18" hidden="1" customHeight="1" x14ac:dyDescent="0.3">
      <c r="F55" s="83"/>
      <c r="G55" s="83"/>
      <c r="J55" s="128"/>
      <c r="K55" s="128"/>
      <c r="L55" s="128"/>
      <c r="M55" s="128"/>
      <c r="N55" s="83"/>
      <c r="O55" s="2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28"/>
      <c r="BK55" s="129"/>
    </row>
    <row r="56" spans="2:76" ht="18" hidden="1" customHeight="1" x14ac:dyDescent="0.3">
      <c r="F56" s="83"/>
      <c r="G56" s="83"/>
      <c r="J56" s="128"/>
      <c r="K56" s="128"/>
      <c r="L56" s="128"/>
      <c r="M56" s="128"/>
      <c r="N56" s="83"/>
      <c r="O56" s="17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128"/>
      <c r="BK56" s="129"/>
    </row>
    <row r="57" spans="2:76" ht="18" hidden="1" customHeight="1" x14ac:dyDescent="0.3">
      <c r="F57" s="83"/>
      <c r="G57" s="83"/>
      <c r="J57" s="128"/>
      <c r="K57" s="128"/>
      <c r="L57" s="128"/>
      <c r="M57" s="128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128"/>
      <c r="BK57" s="129"/>
    </row>
    <row r="58" spans="2:76" ht="18" hidden="1" customHeight="1" x14ac:dyDescent="0.3">
      <c r="F58" s="43"/>
      <c r="G58" s="83"/>
      <c r="J58" s="128"/>
      <c r="K58" s="128"/>
      <c r="L58" s="128"/>
      <c r="M58" s="128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28"/>
      <c r="BK58" s="129"/>
    </row>
    <row r="59" spans="2:76" ht="18" hidden="1" customHeight="1" x14ac:dyDescent="0.3">
      <c r="F59" s="83"/>
      <c r="G59" s="83"/>
      <c r="J59" s="128"/>
      <c r="K59" s="128"/>
      <c r="L59" s="128"/>
      <c r="M59" s="128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R59" s="127"/>
      <c r="AS59" s="127"/>
      <c r="AT59" s="127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128"/>
      <c r="BK59" s="129"/>
      <c r="BV59" s="83"/>
      <c r="BW59" s="83"/>
      <c r="BX59" s="83"/>
    </row>
    <row r="60" spans="2:76" ht="18" hidden="1" customHeight="1" x14ac:dyDescent="0.3">
      <c r="D60" s="78" t="s">
        <v>19</v>
      </c>
      <c r="E60" s="23">
        <f>0.00000178/(1+0.0337*$E$45+0.000221*$E$45^2)</f>
        <v>1.4277360998260247E-6</v>
      </c>
      <c r="F60" s="221"/>
      <c r="G60" s="83"/>
      <c r="I60" s="7"/>
      <c r="J60" s="128"/>
      <c r="K60" s="128"/>
      <c r="L60" s="128"/>
      <c r="M60" s="128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R60" s="176"/>
      <c r="AS60" s="176"/>
      <c r="AT60" s="176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28"/>
      <c r="BK60" s="129"/>
      <c r="BV60" s="1"/>
      <c r="BW60" s="83"/>
      <c r="BX60" s="83"/>
    </row>
    <row r="61" spans="2:76" ht="18" hidden="1" customHeight="1" x14ac:dyDescent="0.3">
      <c r="E61" s="222"/>
      <c r="F61" s="83"/>
      <c r="G61" s="83"/>
      <c r="H61" s="7"/>
      <c r="J61" s="128"/>
      <c r="K61" s="128"/>
      <c r="L61" s="128"/>
      <c r="M61" s="128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28"/>
      <c r="BK61" s="129"/>
      <c r="BV61" s="83"/>
      <c r="BW61" s="83"/>
      <c r="BX61" s="83"/>
    </row>
    <row r="62" spans="2:76" ht="18" hidden="1" customHeight="1" x14ac:dyDescent="0.3">
      <c r="E62" s="223" t="str">
        <f>"Тр1 DN"&amp;E32</f>
        <v>Тр1 DN65</v>
      </c>
      <c r="F62" s="128"/>
      <c r="G62" s="128"/>
      <c r="H62" s="83"/>
      <c r="I62" s="83"/>
      <c r="J62" s="128"/>
      <c r="K62" s="128"/>
      <c r="L62" s="128"/>
      <c r="M62" s="128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128"/>
      <c r="BK62" s="129"/>
      <c r="BV62" s="83"/>
      <c r="BW62" s="1"/>
      <c r="BX62" s="1"/>
    </row>
    <row r="63" spans="2:76" ht="18" hidden="1" customHeight="1" x14ac:dyDescent="0.4">
      <c r="C63" s="83"/>
      <c r="D63" s="224" t="s">
        <v>81</v>
      </c>
      <c r="E63" s="83"/>
      <c r="F63" s="225"/>
      <c r="G63" s="226"/>
      <c r="H63" s="128"/>
      <c r="I63" s="128"/>
      <c r="J63" s="128"/>
      <c r="K63" s="128"/>
      <c r="L63" s="128"/>
      <c r="M63" s="128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28"/>
      <c r="BK63" s="129"/>
      <c r="BV63" s="83"/>
      <c r="BW63" s="83"/>
      <c r="BX63" s="83"/>
    </row>
    <row r="64" spans="2:76" ht="18" hidden="1" customHeight="1" x14ac:dyDescent="0.4">
      <c r="C64" s="83"/>
      <c r="D64" s="224" t="s">
        <v>381</v>
      </c>
      <c r="E64" s="73"/>
      <c r="F64" s="127"/>
      <c r="G64" s="224"/>
      <c r="H64" s="128"/>
      <c r="I64" s="128"/>
      <c r="J64" s="128"/>
      <c r="K64" s="128"/>
      <c r="L64" s="128"/>
      <c r="M64" s="128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128"/>
      <c r="BK64" s="129"/>
      <c r="BV64" s="83"/>
      <c r="BW64" s="83"/>
      <c r="BX64" s="83"/>
    </row>
    <row r="65" spans="3:61" ht="18" hidden="1" customHeight="1" x14ac:dyDescent="0.4">
      <c r="C65" s="83"/>
      <c r="D65" s="226" t="s">
        <v>382</v>
      </c>
      <c r="E65" s="74"/>
      <c r="F65" s="207"/>
      <c r="G65" s="224"/>
      <c r="H65" s="128"/>
      <c r="I65" s="128"/>
      <c r="J65" s="128"/>
      <c r="K65" s="128"/>
      <c r="L65" s="128"/>
      <c r="M65" s="128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83"/>
    </row>
    <row r="66" spans="3:61" ht="18" hidden="1" customHeight="1" x14ac:dyDescent="0.45">
      <c r="C66" s="6"/>
      <c r="D66" s="87" t="s">
        <v>140</v>
      </c>
      <c r="H66" s="128"/>
      <c r="I66" s="128"/>
      <c r="J66" s="128"/>
      <c r="K66" s="128"/>
      <c r="L66" s="128"/>
      <c r="M66" s="128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227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83"/>
    </row>
    <row r="67" spans="3:61" ht="18" hidden="1" customHeight="1" x14ac:dyDescent="0.3">
      <c r="C67" s="228" t="s">
        <v>146</v>
      </c>
      <c r="D67" s="229">
        <f>E45+273.15</f>
        <v>280.14999999999998</v>
      </c>
      <c r="I67" s="128"/>
      <c r="J67" s="128"/>
      <c r="K67" s="128"/>
      <c r="L67" s="128"/>
      <c r="M67" s="128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</row>
    <row r="68" spans="3:61" ht="18" hidden="1" customHeight="1" x14ac:dyDescent="0.3">
      <c r="C68" s="228" t="s">
        <v>147</v>
      </c>
      <c r="D68" s="228">
        <f>E33*0.0980665</f>
        <v>0.4903325</v>
      </c>
      <c r="I68" s="128"/>
      <c r="J68" s="128"/>
      <c r="K68" s="128"/>
      <c r="L68" s="128"/>
      <c r="M68" s="128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</row>
    <row r="69" spans="3:61" ht="18" hidden="1" customHeight="1" x14ac:dyDescent="0.3">
      <c r="C69" s="230" t="s">
        <v>148</v>
      </c>
      <c r="D69" s="228">
        <f>1386/D67</f>
        <v>4.9473496341245768</v>
      </c>
      <c r="I69" s="128"/>
      <c r="J69" s="128"/>
      <c r="K69" s="128"/>
      <c r="L69" s="128"/>
      <c r="M69" s="128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</row>
    <row r="70" spans="3:61" ht="18" hidden="1" customHeight="1" x14ac:dyDescent="0.3">
      <c r="C70" s="230" t="s">
        <v>149</v>
      </c>
      <c r="D70" s="228">
        <f>D68/16.53</f>
        <v>2.9663188142770719E-2</v>
      </c>
      <c r="I70" s="128"/>
      <c r="J70" s="128"/>
      <c r="K70" s="128"/>
      <c r="L70" s="128"/>
      <c r="M70" s="128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</row>
    <row r="71" spans="3:61" ht="18" hidden="1" customHeight="1" x14ac:dyDescent="0.3">
      <c r="C71" s="231" t="s">
        <v>150</v>
      </c>
      <c r="D71" s="231">
        <f>D70*G114*F114*D67/D68</f>
        <v>0.99990709757840024</v>
      </c>
      <c r="I71" s="128"/>
      <c r="J71" s="128"/>
      <c r="K71" s="128"/>
      <c r="L71" s="128"/>
      <c r="M71" s="128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</row>
    <row r="72" spans="3:61" ht="18" hidden="1" customHeight="1" x14ac:dyDescent="0.4">
      <c r="C72" s="88"/>
      <c r="D72" s="232">
        <f>1/D71*1000</f>
        <v>1000.0929110532617</v>
      </c>
      <c r="I72" s="128"/>
      <c r="J72" s="128"/>
      <c r="K72" s="128"/>
      <c r="L72" s="128"/>
      <c r="M72" s="128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</row>
    <row r="73" spans="3:61" ht="18" hidden="1" customHeight="1" x14ac:dyDescent="0.3">
      <c r="I73" s="128"/>
      <c r="J73" s="128"/>
      <c r="K73" s="128"/>
      <c r="L73" s="128"/>
      <c r="M73" s="128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</row>
    <row r="74" spans="3:61" ht="18" hidden="1" customHeight="1" x14ac:dyDescent="0.3">
      <c r="I74" s="128"/>
      <c r="J74" s="128"/>
      <c r="K74" s="128"/>
      <c r="L74" s="128"/>
      <c r="M74" s="128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</row>
    <row r="75" spans="3:61" ht="18" hidden="1" customHeight="1" x14ac:dyDescent="0.3">
      <c r="I75" s="128"/>
      <c r="J75" s="225"/>
      <c r="K75" s="225"/>
      <c r="L75" s="225"/>
      <c r="M75" s="225"/>
      <c r="N75" s="83"/>
      <c r="O75" s="761"/>
      <c r="P75" s="761"/>
      <c r="Q75" s="761"/>
      <c r="R75" s="761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</row>
    <row r="76" spans="3:61" ht="18" hidden="1" customHeight="1" x14ac:dyDescent="0.3">
      <c r="I76" s="128"/>
      <c r="J76" s="128"/>
      <c r="K76" s="128"/>
      <c r="L76" s="128"/>
      <c r="M76" s="128"/>
      <c r="N76" s="83"/>
      <c r="O76" s="142"/>
      <c r="P76" s="142"/>
      <c r="Q76" s="142"/>
      <c r="R76" s="142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</row>
    <row r="77" spans="3:61" ht="18" hidden="1" customHeight="1" x14ac:dyDescent="0.4">
      <c r="I77" s="128"/>
      <c r="J77" s="127"/>
      <c r="K77" s="127"/>
      <c r="L77" s="127"/>
      <c r="M77" s="127"/>
      <c r="N77" s="83"/>
      <c r="O77" s="233"/>
      <c r="P77" s="233"/>
      <c r="Q77" s="233"/>
      <c r="R77" s="234"/>
      <c r="S77" s="83"/>
      <c r="T77" s="8"/>
      <c r="U77" s="44"/>
      <c r="V77" s="44"/>
      <c r="W77" s="44"/>
      <c r="X77" s="44"/>
      <c r="Y77" s="83"/>
      <c r="Z77" s="83"/>
      <c r="AA77" s="190"/>
      <c r="AB77" s="190"/>
      <c r="AC77" s="190"/>
      <c r="AD77" s="235"/>
      <c r="AE77" s="236"/>
      <c r="AF77" s="237"/>
      <c r="AG77" s="237"/>
      <c r="AH77" s="237"/>
      <c r="AI77" s="237"/>
      <c r="AJ77" s="237"/>
      <c r="AK77" s="237"/>
      <c r="AL77" s="2"/>
      <c r="AM77" s="83"/>
      <c r="AN77" s="83"/>
      <c r="AO77" s="83"/>
      <c r="AP77" s="83"/>
      <c r="AQ77" s="83"/>
    </row>
    <row r="78" spans="3:61" ht="18" hidden="1" customHeight="1" x14ac:dyDescent="0.3">
      <c r="I78" s="128"/>
      <c r="J78" s="127"/>
      <c r="K78" s="127"/>
      <c r="L78" s="127"/>
      <c r="M78" s="127"/>
      <c r="N78" s="83"/>
      <c r="O78" s="142"/>
      <c r="P78" s="142"/>
      <c r="Q78" s="142"/>
      <c r="R78" s="142"/>
      <c r="S78" s="83"/>
      <c r="T78" s="127"/>
      <c r="U78" s="238"/>
      <c r="V78" s="238"/>
      <c r="W78" s="238"/>
      <c r="X78" s="238"/>
      <c r="Y78" s="83"/>
      <c r="Z78" s="83"/>
      <c r="AA78" s="127"/>
      <c r="AB78" s="127"/>
      <c r="AC78" s="127"/>
      <c r="AD78" s="239"/>
      <c r="AE78" s="127"/>
      <c r="AF78" s="127"/>
      <c r="AG78" s="127"/>
      <c r="AH78" s="127"/>
      <c r="AI78" s="127"/>
      <c r="AJ78" s="127"/>
      <c r="AK78" s="127"/>
      <c r="AL78" s="3"/>
      <c r="AM78" s="1"/>
      <c r="AN78" s="1"/>
      <c r="AO78" s="1"/>
      <c r="AP78" s="1"/>
      <c r="AQ78" s="1"/>
    </row>
    <row r="79" spans="3:61" ht="18" hidden="1" customHeight="1" x14ac:dyDescent="0.5">
      <c r="C79" s="240" t="s">
        <v>141</v>
      </c>
      <c r="D79" s="240" t="s">
        <v>142</v>
      </c>
      <c r="E79" s="240" t="s">
        <v>143</v>
      </c>
      <c r="F79" s="241" t="s">
        <v>144</v>
      </c>
      <c r="G79" s="242" t="s">
        <v>145</v>
      </c>
      <c r="I79" s="128"/>
      <c r="J79" s="127"/>
      <c r="K79" s="127"/>
      <c r="L79" s="127"/>
      <c r="M79" s="127"/>
      <c r="N79" s="83"/>
      <c r="O79" s="142"/>
      <c r="P79" s="243"/>
      <c r="Q79" s="243"/>
      <c r="R79" s="243"/>
      <c r="S79" s="83"/>
      <c r="T79" s="127"/>
      <c r="U79" s="127"/>
      <c r="V79" s="127"/>
      <c r="W79" s="127"/>
      <c r="X79" s="127"/>
      <c r="Y79" s="83"/>
      <c r="Z79" s="83"/>
      <c r="AA79" s="127"/>
      <c r="AB79" s="127"/>
      <c r="AC79" s="127"/>
      <c r="AD79" s="239"/>
      <c r="AE79" s="127"/>
      <c r="AF79" s="127"/>
      <c r="AG79" s="127"/>
      <c r="AH79" s="127"/>
      <c r="AI79" s="127"/>
      <c r="AJ79" s="127"/>
      <c r="AK79" s="127"/>
      <c r="AL79" s="4"/>
      <c r="AM79" s="83"/>
      <c r="AN79" s="83"/>
      <c r="AO79" s="83"/>
      <c r="AP79" s="83"/>
      <c r="AQ79" s="83"/>
    </row>
    <row r="80" spans="3:61" ht="18" hidden="1" customHeight="1" x14ac:dyDescent="0.3">
      <c r="C80" s="228">
        <v>1</v>
      </c>
      <c r="D80" s="228">
        <v>0</v>
      </c>
      <c r="E80" s="228">
        <v>-2</v>
      </c>
      <c r="F80" s="244">
        <v>0.14632971213167001</v>
      </c>
      <c r="G80" s="245">
        <f t="shared" ref="G80:G113" si="31">-F80*D80*(7.1-$D$70)^(D80-1)*($D$69-1.222)^E80</f>
        <v>0</v>
      </c>
      <c r="H80" s="128"/>
      <c r="I80" s="127"/>
      <c r="J80" s="127"/>
      <c r="K80" s="127"/>
      <c r="L80" s="127"/>
      <c r="M80" s="83"/>
      <c r="N80" s="142"/>
      <c r="O80" s="243"/>
      <c r="P80" s="243"/>
      <c r="Q80" s="243"/>
      <c r="R80" s="83"/>
      <c r="S80" s="246"/>
      <c r="T80" s="127"/>
      <c r="U80" s="127"/>
      <c r="V80" s="127"/>
      <c r="W80" s="127"/>
      <c r="X80" s="83"/>
      <c r="Y80" s="83"/>
      <c r="Z80" s="127"/>
      <c r="AA80" s="127"/>
      <c r="AB80" s="127"/>
      <c r="AC80" s="239"/>
      <c r="AD80" s="127"/>
      <c r="AE80" s="127"/>
      <c r="AF80" s="127"/>
      <c r="AG80" s="127"/>
      <c r="AH80" s="127"/>
      <c r="AI80" s="127"/>
      <c r="AJ80" s="127"/>
      <c r="AK80" s="83"/>
      <c r="AL80" s="83"/>
      <c r="AM80" s="83"/>
      <c r="AN80" s="83"/>
      <c r="AO80" s="83"/>
      <c r="AP80" s="83"/>
    </row>
    <row r="81" spans="3:42" ht="18" hidden="1" customHeight="1" x14ac:dyDescent="0.3">
      <c r="C81" s="228">
        <v>2</v>
      </c>
      <c r="D81" s="228">
        <v>0</v>
      </c>
      <c r="E81" s="228">
        <v>-1</v>
      </c>
      <c r="F81" s="244">
        <v>-0.84548187169113997</v>
      </c>
      <c r="G81" s="245">
        <f t="shared" si="31"/>
        <v>0</v>
      </c>
      <c r="H81" s="128"/>
      <c r="I81" s="127"/>
      <c r="J81" s="127"/>
      <c r="K81" s="127"/>
      <c r="L81" s="127"/>
      <c r="M81" s="83"/>
      <c r="N81" s="142"/>
      <c r="O81" s="243"/>
      <c r="P81" s="243"/>
      <c r="Q81" s="243"/>
      <c r="R81" s="83"/>
      <c r="S81" s="246"/>
      <c r="T81" s="127"/>
      <c r="U81" s="127"/>
      <c r="V81" s="127"/>
      <c r="W81" s="127"/>
      <c r="X81" s="83"/>
      <c r="Y81" s="83"/>
      <c r="Z81" s="127"/>
      <c r="AA81" s="127"/>
      <c r="AB81" s="127"/>
      <c r="AC81" s="239"/>
      <c r="AD81" s="127"/>
      <c r="AE81" s="127"/>
      <c r="AF81" s="127"/>
      <c r="AG81" s="127"/>
      <c r="AH81" s="127"/>
      <c r="AI81" s="127"/>
      <c r="AJ81" s="127"/>
      <c r="AK81" s="83"/>
      <c r="AL81" s="83"/>
      <c r="AM81" s="83"/>
      <c r="AN81" s="83"/>
      <c r="AO81" s="83"/>
      <c r="AP81" s="83"/>
    </row>
    <row r="82" spans="3:42" ht="18" hidden="1" customHeight="1" x14ac:dyDescent="0.3">
      <c r="C82" s="228">
        <v>3</v>
      </c>
      <c r="D82" s="228">
        <v>0</v>
      </c>
      <c r="E82" s="228">
        <v>0</v>
      </c>
      <c r="F82" s="244">
        <v>-3.756360367204</v>
      </c>
      <c r="G82" s="245">
        <f t="shared" si="31"/>
        <v>0</v>
      </c>
      <c r="H82" s="128"/>
      <c r="I82" s="127"/>
      <c r="J82" s="127"/>
      <c r="K82" s="127"/>
      <c r="L82" s="127"/>
      <c r="M82" s="83"/>
      <c r="N82" s="142"/>
      <c r="O82" s="243"/>
      <c r="P82" s="243"/>
      <c r="Q82" s="243"/>
      <c r="R82" s="83"/>
      <c r="S82" s="247"/>
      <c r="T82" s="247"/>
      <c r="U82" s="247"/>
      <c r="V82" s="247"/>
      <c r="W82" s="247"/>
      <c r="X82" s="83"/>
      <c r="Y82" s="83"/>
      <c r="Z82" s="127"/>
      <c r="AA82" s="127"/>
      <c r="AB82" s="127"/>
      <c r="AC82" s="239"/>
      <c r="AD82" s="127"/>
      <c r="AE82" s="127"/>
      <c r="AF82" s="127"/>
      <c r="AG82" s="127"/>
      <c r="AH82" s="127"/>
      <c r="AI82" s="127"/>
      <c r="AJ82" s="127"/>
      <c r="AK82" s="83"/>
      <c r="AL82" s="83"/>
      <c r="AM82" s="83"/>
      <c r="AN82" s="83"/>
      <c r="AO82" s="83"/>
      <c r="AP82" s="83"/>
    </row>
    <row r="83" spans="3:42" ht="18" hidden="1" customHeight="1" x14ac:dyDescent="0.4">
      <c r="C83" s="228">
        <v>4</v>
      </c>
      <c r="D83" s="228">
        <v>0</v>
      </c>
      <c r="E83" s="228">
        <v>1</v>
      </c>
      <c r="F83" s="244">
        <v>3.3855169168385002</v>
      </c>
      <c r="G83" s="245">
        <f t="shared" si="31"/>
        <v>0</v>
      </c>
      <c r="H83" s="128"/>
      <c r="I83" s="127"/>
      <c r="J83" s="127"/>
      <c r="K83" s="127"/>
      <c r="L83" s="127"/>
      <c r="M83" s="83"/>
      <c r="N83" s="142"/>
      <c r="O83" s="142"/>
      <c r="P83" s="142"/>
      <c r="Q83" s="142"/>
      <c r="R83" s="83"/>
      <c r="S83" s="8"/>
      <c r="T83" s="248"/>
      <c r="U83" s="248"/>
      <c r="V83" s="248"/>
      <c r="W83" s="248"/>
      <c r="X83" s="83"/>
      <c r="Y83" s="83"/>
      <c r="Z83" s="127"/>
      <c r="AA83" s="127"/>
      <c r="AB83" s="127"/>
      <c r="AC83" s="239"/>
      <c r="AD83" s="127"/>
      <c r="AE83" s="127"/>
      <c r="AF83" s="127"/>
      <c r="AG83" s="127"/>
      <c r="AH83" s="127"/>
      <c r="AI83" s="127"/>
      <c r="AJ83" s="127"/>
      <c r="AK83" s="83"/>
    </row>
    <row r="84" spans="3:42" ht="18" hidden="1" customHeight="1" x14ac:dyDescent="0.3">
      <c r="C84" s="228">
        <v>5</v>
      </c>
      <c r="D84" s="228">
        <v>0</v>
      </c>
      <c r="E84" s="228">
        <v>2</v>
      </c>
      <c r="F84" s="244">
        <v>-0.95791963387872003</v>
      </c>
      <c r="G84" s="245">
        <f t="shared" si="31"/>
        <v>0</v>
      </c>
      <c r="H84" s="128"/>
      <c r="I84" s="127"/>
      <c r="J84" s="127"/>
      <c r="K84" s="127"/>
      <c r="L84" s="127"/>
      <c r="M84" s="83"/>
      <c r="N84" s="142"/>
      <c r="O84" s="142"/>
      <c r="P84" s="142"/>
      <c r="Q84" s="142"/>
      <c r="R84" s="83"/>
      <c r="S84" s="83"/>
      <c r="T84" s="83"/>
      <c r="U84" s="83"/>
      <c r="V84" s="83"/>
      <c r="W84" s="83"/>
      <c r="X84" s="83"/>
      <c r="Y84" s="83"/>
      <c r="Z84" s="127"/>
      <c r="AA84" s="127"/>
      <c r="AB84" s="127"/>
      <c r="AC84" s="239"/>
      <c r="AD84" s="127"/>
      <c r="AE84" s="127"/>
      <c r="AF84" s="127"/>
      <c r="AG84" s="127"/>
      <c r="AH84" s="127"/>
      <c r="AI84" s="127"/>
      <c r="AJ84" s="127"/>
      <c r="AK84" s="83"/>
    </row>
    <row r="85" spans="3:42" ht="18" hidden="1" customHeight="1" x14ac:dyDescent="0.3">
      <c r="C85" s="228">
        <v>6</v>
      </c>
      <c r="D85" s="228">
        <v>0</v>
      </c>
      <c r="E85" s="228">
        <v>3</v>
      </c>
      <c r="F85" s="244">
        <v>0.15772038513228001</v>
      </c>
      <c r="G85" s="245">
        <f t="shared" si="31"/>
        <v>0</v>
      </c>
      <c r="H85" s="128"/>
      <c r="I85" s="127"/>
      <c r="J85" s="127"/>
      <c r="K85" s="127"/>
      <c r="L85" s="127"/>
      <c r="M85" s="83"/>
      <c r="N85" s="142"/>
      <c r="O85" s="243"/>
      <c r="P85" s="243"/>
      <c r="Q85" s="243"/>
      <c r="R85" s="83"/>
      <c r="S85" s="83"/>
      <c r="T85" s="83"/>
      <c r="U85" s="83"/>
      <c r="V85" s="83"/>
      <c r="W85" s="83"/>
      <c r="X85" s="83"/>
      <c r="Y85" s="83"/>
      <c r="Z85" s="127"/>
      <c r="AA85" s="127"/>
      <c r="AB85" s="127"/>
      <c r="AC85" s="239"/>
      <c r="AD85" s="127"/>
      <c r="AE85" s="127"/>
      <c r="AF85" s="127"/>
      <c r="AG85" s="127"/>
      <c r="AH85" s="127"/>
      <c r="AI85" s="127"/>
      <c r="AJ85" s="127"/>
      <c r="AK85" s="83"/>
    </row>
    <row r="86" spans="3:42" ht="18" hidden="1" customHeight="1" x14ac:dyDescent="0.3">
      <c r="C86" s="228">
        <v>7</v>
      </c>
      <c r="D86" s="228">
        <v>0</v>
      </c>
      <c r="E86" s="228">
        <v>4</v>
      </c>
      <c r="F86" s="244">
        <v>-1.6616417199501E-2</v>
      </c>
      <c r="G86" s="245">
        <f t="shared" si="31"/>
        <v>0</v>
      </c>
      <c r="H86" s="128"/>
      <c r="I86" s="127"/>
      <c r="J86" s="127"/>
      <c r="K86" s="127"/>
      <c r="L86" s="127"/>
      <c r="M86" s="83"/>
      <c r="N86" s="142"/>
      <c r="O86" s="243"/>
      <c r="P86" s="243"/>
      <c r="Q86" s="243"/>
      <c r="R86" s="83"/>
      <c r="S86" s="83"/>
      <c r="T86" s="83"/>
      <c r="U86" s="83"/>
      <c r="V86" s="83"/>
      <c r="W86" s="83"/>
      <c r="X86" s="83"/>
      <c r="Y86" s="83"/>
      <c r="Z86" s="127"/>
      <c r="AA86" s="127"/>
      <c r="AB86" s="127"/>
      <c r="AC86" s="239"/>
      <c r="AD86" s="127"/>
      <c r="AE86" s="127"/>
      <c r="AF86" s="127"/>
      <c r="AG86" s="127"/>
      <c r="AH86" s="127"/>
      <c r="AI86" s="127"/>
      <c r="AJ86" s="127"/>
      <c r="AK86" s="83"/>
    </row>
    <row r="87" spans="3:42" ht="18" hidden="1" customHeight="1" x14ac:dyDescent="0.3">
      <c r="C87" s="228">
        <v>8</v>
      </c>
      <c r="D87" s="228">
        <v>0</v>
      </c>
      <c r="E87" s="228">
        <v>5</v>
      </c>
      <c r="F87" s="244">
        <v>8.1214629983567997E-4</v>
      </c>
      <c r="G87" s="245">
        <f t="shared" si="31"/>
        <v>0</v>
      </c>
      <c r="H87" s="128"/>
      <c r="I87" s="127"/>
      <c r="J87" s="127"/>
      <c r="K87" s="127"/>
      <c r="L87" s="127"/>
      <c r="M87" s="83"/>
      <c r="N87" s="142"/>
      <c r="O87" s="243"/>
      <c r="P87" s="243"/>
      <c r="Q87" s="243"/>
      <c r="R87" s="83"/>
      <c r="S87" s="83"/>
      <c r="T87" s="83"/>
      <c r="U87" s="83"/>
      <c r="V87" s="83"/>
      <c r="W87" s="83"/>
      <c r="X87" s="83"/>
      <c r="Y87" s="83"/>
      <c r="Z87" s="127"/>
      <c r="AA87" s="127"/>
      <c r="AB87" s="127"/>
      <c r="AC87" s="239"/>
      <c r="AD87" s="127"/>
      <c r="AE87" s="127"/>
      <c r="AF87" s="127"/>
      <c r="AG87" s="127"/>
      <c r="AH87" s="127"/>
      <c r="AI87" s="127"/>
      <c r="AJ87" s="127"/>
      <c r="AK87" s="83"/>
    </row>
    <row r="88" spans="3:42" ht="18" hidden="1" customHeight="1" x14ac:dyDescent="0.3">
      <c r="C88" s="228">
        <v>9</v>
      </c>
      <c r="D88" s="228">
        <v>1</v>
      </c>
      <c r="E88" s="228">
        <v>-9</v>
      </c>
      <c r="F88" s="244">
        <v>2.8319080123804E-4</v>
      </c>
      <c r="G88" s="245">
        <f t="shared" si="31"/>
        <v>-2.0491596419286651E-9</v>
      </c>
      <c r="H88" s="128"/>
      <c r="I88" s="127"/>
      <c r="J88" s="127"/>
      <c r="K88" s="127"/>
      <c r="L88" s="127"/>
      <c r="M88" s="83"/>
      <c r="N88" s="127"/>
      <c r="O88" s="127"/>
      <c r="P88" s="127"/>
      <c r="Q88" s="127"/>
      <c r="R88" s="83"/>
      <c r="S88" s="83"/>
      <c r="T88" s="83"/>
      <c r="U88" s="83"/>
      <c r="V88" s="83"/>
      <c r="W88" s="83"/>
      <c r="X88" s="83"/>
      <c r="Y88" s="83"/>
      <c r="Z88" s="127"/>
      <c r="AA88" s="127"/>
      <c r="AB88" s="127"/>
      <c r="AC88" s="239"/>
      <c r="AD88" s="127"/>
      <c r="AE88" s="127"/>
      <c r="AF88" s="127"/>
      <c r="AG88" s="127"/>
      <c r="AH88" s="127"/>
      <c r="AI88" s="127"/>
      <c r="AJ88" s="127"/>
      <c r="AK88" s="83"/>
    </row>
    <row r="89" spans="3:42" ht="18" hidden="1" customHeight="1" x14ac:dyDescent="0.3">
      <c r="C89" s="228">
        <v>10</v>
      </c>
      <c r="D89" s="228">
        <v>1</v>
      </c>
      <c r="E89" s="228">
        <v>-7</v>
      </c>
      <c r="F89" s="244">
        <v>-6.0706301565873996E-4</v>
      </c>
      <c r="G89" s="245">
        <f t="shared" si="31"/>
        <v>6.0962743605632907E-8</v>
      </c>
      <c r="H89" s="128"/>
      <c r="I89" s="127"/>
      <c r="J89" s="127"/>
      <c r="K89" s="127"/>
      <c r="L89" s="127"/>
      <c r="M89" s="83"/>
      <c r="N89" s="127"/>
      <c r="O89" s="127"/>
      <c r="P89" s="127"/>
      <c r="Q89" s="127"/>
      <c r="R89" s="83"/>
      <c r="S89" s="83"/>
      <c r="T89" s="83"/>
      <c r="U89" s="83"/>
      <c r="V89" s="83"/>
      <c r="W89" s="83"/>
      <c r="X89" s="83"/>
      <c r="Y89" s="83"/>
      <c r="Z89" s="127"/>
      <c r="AA89" s="127"/>
      <c r="AB89" s="127"/>
      <c r="AC89" s="239"/>
      <c r="AD89" s="127"/>
      <c r="AE89" s="127"/>
      <c r="AF89" s="127"/>
      <c r="AG89" s="127"/>
      <c r="AH89" s="127"/>
      <c r="AI89" s="127"/>
      <c r="AJ89" s="127"/>
      <c r="AK89" s="83"/>
    </row>
    <row r="90" spans="3:42" ht="18" hidden="1" customHeight="1" x14ac:dyDescent="0.3">
      <c r="C90" s="228">
        <v>11</v>
      </c>
      <c r="D90" s="228">
        <v>1</v>
      </c>
      <c r="E90" s="228">
        <v>-1</v>
      </c>
      <c r="F90" s="244">
        <v>-1.8990068218419E-2</v>
      </c>
      <c r="G90" s="245">
        <f t="shared" si="31"/>
        <v>5.0975264293230543E-3</v>
      </c>
      <c r="H90" s="128"/>
      <c r="I90" s="127"/>
      <c r="J90" s="127"/>
      <c r="K90" s="127"/>
      <c r="L90" s="127"/>
      <c r="M90" s="83"/>
      <c r="N90" s="127"/>
      <c r="O90" s="127"/>
      <c r="P90" s="127"/>
      <c r="Q90" s="127"/>
      <c r="R90" s="83"/>
      <c r="S90" s="83"/>
      <c r="T90" s="83"/>
      <c r="U90" s="83"/>
      <c r="V90" s="83"/>
      <c r="W90" s="83"/>
      <c r="X90" s="83"/>
      <c r="Y90" s="83"/>
      <c r="Z90" s="127"/>
      <c r="AA90" s="127"/>
      <c r="AB90" s="127"/>
      <c r="AC90" s="239"/>
      <c r="AD90" s="127"/>
      <c r="AE90" s="127"/>
      <c r="AF90" s="127"/>
      <c r="AG90" s="127"/>
      <c r="AH90" s="127"/>
      <c r="AI90" s="127"/>
      <c r="AJ90" s="127"/>
      <c r="AK90" s="83"/>
    </row>
    <row r="91" spans="3:42" ht="18" hidden="1" customHeight="1" x14ac:dyDescent="0.3">
      <c r="C91" s="228">
        <v>12</v>
      </c>
      <c r="D91" s="228">
        <v>1</v>
      </c>
      <c r="E91" s="228">
        <v>0</v>
      </c>
      <c r="F91" s="244">
        <v>-3.2529748770504997E-2</v>
      </c>
      <c r="G91" s="245">
        <f t="shared" si="31"/>
        <v>3.2529748770504997E-2</v>
      </c>
      <c r="H91" s="128"/>
      <c r="I91" s="127"/>
      <c r="J91" s="127"/>
      <c r="K91" s="127"/>
      <c r="L91" s="127"/>
      <c r="M91" s="83"/>
      <c r="N91" s="127"/>
      <c r="O91" s="249"/>
      <c r="P91" s="249"/>
      <c r="Q91" s="249"/>
      <c r="R91" s="83"/>
      <c r="S91" s="83"/>
      <c r="T91" s="83"/>
      <c r="U91" s="83"/>
      <c r="V91" s="83"/>
      <c r="W91" s="83"/>
      <c r="X91" s="83"/>
      <c r="Y91" s="83"/>
      <c r="Z91" s="127"/>
      <c r="AA91" s="127"/>
      <c r="AB91" s="127"/>
      <c r="AC91" s="239"/>
      <c r="AD91" s="127"/>
      <c r="AE91" s="127"/>
      <c r="AF91" s="127"/>
      <c r="AG91" s="127"/>
      <c r="AH91" s="127"/>
      <c r="AI91" s="127"/>
      <c r="AJ91" s="127"/>
      <c r="AK91" s="83"/>
    </row>
    <row r="92" spans="3:42" ht="18" hidden="1" customHeight="1" x14ac:dyDescent="0.3">
      <c r="C92" s="228">
        <v>13</v>
      </c>
      <c r="D92" s="228">
        <v>1</v>
      </c>
      <c r="E92" s="228">
        <v>1</v>
      </c>
      <c r="F92" s="244">
        <v>-2.1841717175413999E-2</v>
      </c>
      <c r="G92" s="245">
        <f t="shared" si="31"/>
        <v>8.1368033088081035E-2</v>
      </c>
      <c r="H92" s="128"/>
      <c r="I92" s="127"/>
      <c r="J92" s="127"/>
      <c r="K92" s="127"/>
      <c r="L92" s="127"/>
      <c r="M92" s="83"/>
      <c r="N92" s="127"/>
      <c r="O92" s="249"/>
      <c r="P92" s="249"/>
      <c r="Q92" s="249"/>
      <c r="R92" s="83"/>
      <c r="S92" s="83"/>
      <c r="T92" s="83"/>
      <c r="U92" s="83"/>
      <c r="V92" s="83"/>
      <c r="W92" s="83"/>
      <c r="X92" s="83"/>
      <c r="Y92" s="83"/>
      <c r="Z92" s="127"/>
      <c r="AA92" s="127"/>
      <c r="AB92" s="127"/>
      <c r="AC92" s="239"/>
      <c r="AD92" s="127"/>
      <c r="AE92" s="127"/>
      <c r="AF92" s="127"/>
      <c r="AG92" s="127"/>
      <c r="AH92" s="127"/>
      <c r="AI92" s="127"/>
      <c r="AJ92" s="127"/>
      <c r="AK92" s="83"/>
    </row>
    <row r="93" spans="3:42" ht="18" hidden="1" customHeight="1" x14ac:dyDescent="0.3">
      <c r="C93" s="228">
        <v>14</v>
      </c>
      <c r="D93" s="228">
        <v>1</v>
      </c>
      <c r="E93" s="228">
        <v>3</v>
      </c>
      <c r="F93" s="244">
        <v>-5.2838357969930002E-5</v>
      </c>
      <c r="G93" s="245">
        <f t="shared" si="31"/>
        <v>2.7318096129491888E-3</v>
      </c>
      <c r="H93" s="128"/>
      <c r="I93" s="127"/>
      <c r="J93" s="127"/>
      <c r="K93" s="127"/>
      <c r="L93" s="127"/>
      <c r="M93" s="83"/>
      <c r="N93" s="127"/>
      <c r="O93" s="127"/>
      <c r="P93" s="127"/>
      <c r="Q93" s="127"/>
      <c r="R93" s="83"/>
      <c r="S93" s="83"/>
      <c r="T93" s="83"/>
      <c r="U93" s="83"/>
      <c r="V93" s="83"/>
      <c r="W93" s="83"/>
      <c r="X93" s="83"/>
      <c r="Y93" s="83"/>
      <c r="Z93" s="127"/>
      <c r="AA93" s="127"/>
      <c r="AB93" s="127"/>
      <c r="AC93" s="239"/>
      <c r="AD93" s="127"/>
      <c r="AE93" s="127"/>
      <c r="AF93" s="127"/>
      <c r="AG93" s="127"/>
      <c r="AH93" s="127"/>
      <c r="AI93" s="127"/>
      <c r="AJ93" s="127"/>
      <c r="AK93" s="83"/>
    </row>
    <row r="94" spans="3:42" ht="18" hidden="1" customHeight="1" x14ac:dyDescent="0.3">
      <c r="C94" s="228">
        <v>15</v>
      </c>
      <c r="D94" s="228">
        <v>2</v>
      </c>
      <c r="E94" s="228">
        <v>-3</v>
      </c>
      <c r="F94" s="244">
        <v>-4.7184321073266998E-4</v>
      </c>
      <c r="G94" s="245">
        <f t="shared" si="31"/>
        <v>1.2905258046995216E-4</v>
      </c>
      <c r="H94" s="128"/>
      <c r="I94" s="127"/>
      <c r="J94" s="127"/>
      <c r="K94" s="127"/>
      <c r="L94" s="127"/>
      <c r="M94" s="83"/>
      <c r="N94" s="127"/>
      <c r="O94" s="127"/>
      <c r="P94" s="127"/>
      <c r="Q94" s="127"/>
      <c r="R94" s="83"/>
      <c r="S94" s="83"/>
      <c r="T94" s="83"/>
      <c r="U94" s="83"/>
      <c r="V94" s="83"/>
      <c r="W94" s="83"/>
      <c r="X94" s="83"/>
      <c r="Y94" s="83"/>
      <c r="Z94" s="127"/>
      <c r="AA94" s="127"/>
      <c r="AB94" s="127"/>
      <c r="AC94" s="239"/>
      <c r="AD94" s="127"/>
      <c r="AE94" s="127"/>
      <c r="AF94" s="127"/>
      <c r="AG94" s="127"/>
      <c r="AH94" s="127"/>
      <c r="AI94" s="127"/>
      <c r="AJ94" s="127"/>
      <c r="AK94" s="83"/>
    </row>
    <row r="95" spans="3:42" ht="18" hidden="1" customHeight="1" x14ac:dyDescent="0.3">
      <c r="C95" s="228">
        <v>16</v>
      </c>
      <c r="D95" s="228">
        <v>2</v>
      </c>
      <c r="E95" s="228">
        <v>0</v>
      </c>
      <c r="F95" s="244">
        <v>-3.0001780793025999E-4</v>
      </c>
      <c r="G95" s="245">
        <f t="shared" si="31"/>
        <v>4.2424539032440579E-3</v>
      </c>
      <c r="H95" s="83"/>
      <c r="I95" s="127"/>
      <c r="J95" s="127"/>
      <c r="K95" s="127"/>
      <c r="L95" s="127"/>
      <c r="M95" s="83"/>
      <c r="N95" s="127"/>
      <c r="O95" s="127"/>
      <c r="P95" s="127"/>
      <c r="Q95" s="127"/>
      <c r="R95" s="83"/>
      <c r="S95" s="83"/>
      <c r="T95" s="83"/>
      <c r="U95" s="83"/>
      <c r="V95" s="83"/>
      <c r="W95" s="83"/>
      <c r="X95" s="83"/>
      <c r="Y95" s="83"/>
      <c r="Z95" s="127"/>
      <c r="AA95" s="127"/>
      <c r="AB95" s="127"/>
      <c r="AC95" s="239"/>
      <c r="AD95" s="127"/>
      <c r="AE95" s="127"/>
      <c r="AF95" s="127"/>
      <c r="AG95" s="127"/>
      <c r="AH95" s="127"/>
      <c r="AI95" s="127"/>
      <c r="AJ95" s="127"/>
      <c r="AK95" s="83"/>
    </row>
    <row r="96" spans="3:42" ht="18" hidden="1" customHeight="1" x14ac:dyDescent="0.3">
      <c r="C96" s="228">
        <v>17</v>
      </c>
      <c r="D96" s="228">
        <v>2</v>
      </c>
      <c r="E96" s="228">
        <v>1</v>
      </c>
      <c r="F96" s="244">
        <v>4.7661393906987001E-5</v>
      </c>
      <c r="G96" s="245">
        <f t="shared" si="31"/>
        <v>-2.5107523443337839E-3</v>
      </c>
      <c r="H96" s="83"/>
      <c r="I96" s="127"/>
      <c r="J96" s="127"/>
      <c r="K96" s="127"/>
      <c r="L96" s="127"/>
      <c r="M96" s="83"/>
      <c r="N96" s="127"/>
      <c r="O96" s="127"/>
      <c r="P96" s="127"/>
      <c r="Q96" s="127"/>
      <c r="R96" s="83"/>
      <c r="S96" s="83"/>
      <c r="T96" s="83"/>
      <c r="U96" s="83"/>
      <c r="V96" s="83"/>
      <c r="W96" s="83"/>
      <c r="X96" s="83"/>
      <c r="Y96" s="83"/>
      <c r="Z96" s="127"/>
      <c r="AA96" s="127"/>
      <c r="AB96" s="127"/>
      <c r="AC96" s="239"/>
      <c r="AD96" s="127"/>
      <c r="AE96" s="127"/>
      <c r="AF96" s="127"/>
      <c r="AG96" s="127"/>
      <c r="AH96" s="127"/>
      <c r="AI96" s="127"/>
      <c r="AJ96" s="127"/>
      <c r="AK96" s="83"/>
    </row>
    <row r="97" spans="3:37" ht="18" hidden="1" customHeight="1" x14ac:dyDescent="0.3">
      <c r="C97" s="228">
        <v>18</v>
      </c>
      <c r="D97" s="228">
        <v>2</v>
      </c>
      <c r="E97" s="228">
        <v>3</v>
      </c>
      <c r="F97" s="244">
        <v>-4.4141845330845997E-6</v>
      </c>
      <c r="G97" s="245">
        <f t="shared" si="31"/>
        <v>3.2271689280412344E-3</v>
      </c>
      <c r="H97" s="83"/>
      <c r="I97" s="127"/>
      <c r="J97" s="127"/>
      <c r="K97" s="127"/>
      <c r="L97" s="127"/>
      <c r="M97" s="83"/>
      <c r="N97" s="127"/>
      <c r="O97" s="127"/>
      <c r="P97" s="127"/>
      <c r="Q97" s="127"/>
      <c r="R97" s="83"/>
      <c r="S97" s="83"/>
      <c r="T97" s="83"/>
      <c r="U97" s="83"/>
      <c r="V97" s="83"/>
      <c r="W97" s="83"/>
      <c r="X97" s="83"/>
      <c r="Y97" s="83"/>
      <c r="Z97" s="127"/>
      <c r="AA97" s="127"/>
      <c r="AB97" s="127"/>
      <c r="AC97" s="239"/>
      <c r="AD97" s="127"/>
      <c r="AE97" s="127"/>
      <c r="AF97" s="127"/>
      <c r="AG97" s="127"/>
      <c r="AH97" s="127"/>
      <c r="AI97" s="127"/>
      <c r="AJ97" s="127"/>
      <c r="AK97" s="83"/>
    </row>
    <row r="98" spans="3:37" ht="18" hidden="1" customHeight="1" x14ac:dyDescent="0.3">
      <c r="C98" s="228">
        <v>19</v>
      </c>
      <c r="D98" s="228">
        <v>2</v>
      </c>
      <c r="E98" s="228">
        <v>17</v>
      </c>
      <c r="F98" s="244">
        <v>-7.2694996297594001E-16</v>
      </c>
      <c r="G98" s="245">
        <f t="shared" si="31"/>
        <v>5.2700444147631298E-5</v>
      </c>
      <c r="H98" s="83"/>
      <c r="I98" s="127"/>
      <c r="J98" s="127"/>
      <c r="K98" s="127"/>
      <c r="L98" s="127"/>
      <c r="M98" s="83"/>
      <c r="N98" s="127"/>
      <c r="O98" s="127"/>
      <c r="P98" s="127"/>
      <c r="Q98" s="127"/>
      <c r="R98" s="83"/>
      <c r="S98" s="83"/>
      <c r="T98" s="83"/>
      <c r="U98" s="83"/>
      <c r="V98" s="83"/>
      <c r="W98" s="83"/>
      <c r="X98" s="83"/>
      <c r="Y98" s="83"/>
      <c r="Z98" s="127"/>
      <c r="AA98" s="127"/>
      <c r="AB98" s="127"/>
      <c r="AC98" s="239"/>
      <c r="AD98" s="127"/>
      <c r="AE98" s="127"/>
      <c r="AF98" s="127"/>
      <c r="AG98" s="127"/>
      <c r="AH98" s="127"/>
      <c r="AI98" s="127"/>
      <c r="AJ98" s="127"/>
      <c r="AK98" s="83"/>
    </row>
    <row r="99" spans="3:37" ht="18" hidden="1" customHeight="1" x14ac:dyDescent="0.3">
      <c r="C99" s="228">
        <v>20</v>
      </c>
      <c r="D99" s="228">
        <v>3</v>
      </c>
      <c r="E99" s="228">
        <v>-4</v>
      </c>
      <c r="F99" s="244">
        <v>-3.1679644845054002E-5</v>
      </c>
      <c r="G99" s="245">
        <f t="shared" si="31"/>
        <v>2.4666845285661362E-5</v>
      </c>
      <c r="H99" s="83"/>
      <c r="I99" s="127"/>
      <c r="J99" s="127"/>
      <c r="K99" s="127"/>
      <c r="L99" s="127"/>
      <c r="M99" s="83"/>
      <c r="N99" s="127"/>
      <c r="O99" s="127"/>
      <c r="P99" s="127"/>
      <c r="Q99" s="127"/>
      <c r="R99" s="83"/>
      <c r="S99" s="83"/>
      <c r="T99" s="83"/>
      <c r="U99" s="83"/>
      <c r="V99" s="83"/>
      <c r="W99" s="83"/>
      <c r="X99" s="83"/>
      <c r="Y99" s="83"/>
      <c r="Z99" s="127"/>
      <c r="AA99" s="127"/>
      <c r="AB99" s="127"/>
      <c r="AC99" s="239"/>
      <c r="AD99" s="127"/>
      <c r="AE99" s="127"/>
      <c r="AF99" s="127"/>
      <c r="AG99" s="127"/>
      <c r="AH99" s="127"/>
      <c r="AI99" s="127"/>
      <c r="AJ99" s="127"/>
      <c r="AK99" s="83"/>
    </row>
    <row r="100" spans="3:37" ht="18" hidden="1" customHeight="1" x14ac:dyDescent="0.3">
      <c r="C100" s="228">
        <v>21</v>
      </c>
      <c r="D100" s="228">
        <v>3</v>
      </c>
      <c r="E100" s="228">
        <v>0</v>
      </c>
      <c r="F100" s="244">
        <v>-2.8270797985312E-6</v>
      </c>
      <c r="G100" s="245">
        <f t="shared" si="31"/>
        <v>4.2397429609631021E-4</v>
      </c>
      <c r="H100" s="83"/>
      <c r="I100" s="127"/>
      <c r="J100" s="127"/>
      <c r="K100" s="127"/>
      <c r="L100" s="127"/>
      <c r="M100" s="83"/>
      <c r="N100" s="127"/>
      <c r="O100" s="127"/>
      <c r="P100" s="127"/>
      <c r="Q100" s="127"/>
      <c r="R100" s="83"/>
      <c r="S100" s="83"/>
      <c r="T100" s="83"/>
      <c r="U100" s="83"/>
      <c r="V100" s="83"/>
      <c r="W100" s="83"/>
      <c r="X100" s="83"/>
      <c r="Y100" s="83"/>
      <c r="Z100" s="127"/>
      <c r="AA100" s="127"/>
      <c r="AB100" s="127"/>
      <c r="AC100" s="239"/>
      <c r="AD100" s="127"/>
      <c r="AE100" s="127"/>
      <c r="AF100" s="127"/>
      <c r="AG100" s="127"/>
      <c r="AH100" s="127"/>
      <c r="AI100" s="127"/>
      <c r="AJ100" s="127"/>
      <c r="AK100" s="83"/>
    </row>
    <row r="101" spans="3:37" ht="18" hidden="1" customHeight="1" x14ac:dyDescent="0.3">
      <c r="C101" s="228">
        <v>22</v>
      </c>
      <c r="D101" s="228">
        <v>3</v>
      </c>
      <c r="E101" s="228">
        <v>6</v>
      </c>
      <c r="F101" s="244">
        <v>-8.5205128120103004E-10</v>
      </c>
      <c r="G101" s="245">
        <f t="shared" si="31"/>
        <v>3.4156190461940151E-4</v>
      </c>
      <c r="H101" s="83"/>
      <c r="I101" s="127"/>
      <c r="J101" s="127"/>
      <c r="K101" s="127"/>
      <c r="L101" s="127"/>
      <c r="M101" s="83"/>
      <c r="N101" s="127"/>
      <c r="O101" s="127"/>
      <c r="P101" s="127"/>
      <c r="Q101" s="127"/>
      <c r="R101" s="83"/>
      <c r="S101" s="83"/>
      <c r="T101" s="83"/>
      <c r="U101" s="83"/>
      <c r="V101" s="83"/>
      <c r="W101" s="83"/>
      <c r="X101" s="83"/>
      <c r="Y101" s="83"/>
      <c r="Z101" s="127"/>
      <c r="AA101" s="127"/>
      <c r="AB101" s="127"/>
      <c r="AC101" s="239"/>
      <c r="AD101" s="127"/>
      <c r="AE101" s="127"/>
      <c r="AF101" s="127"/>
      <c r="AG101" s="127"/>
      <c r="AH101" s="127"/>
      <c r="AI101" s="127"/>
      <c r="AJ101" s="127"/>
      <c r="AK101" s="83"/>
    </row>
    <row r="102" spans="3:37" ht="18" hidden="1" customHeight="1" x14ac:dyDescent="0.3">
      <c r="C102" s="228">
        <v>23</v>
      </c>
      <c r="D102" s="228">
        <v>4</v>
      </c>
      <c r="E102" s="228">
        <v>-5</v>
      </c>
      <c r="F102" s="244">
        <v>-2.2425281907999999E-6</v>
      </c>
      <c r="G102" s="245">
        <f t="shared" si="31"/>
        <v>4.4185830047446573E-6</v>
      </c>
      <c r="H102" s="83"/>
      <c r="I102" s="83"/>
      <c r="J102" s="83"/>
      <c r="K102" s="83"/>
      <c r="L102" s="83"/>
      <c r="M102" s="83"/>
      <c r="N102" s="127"/>
      <c r="O102" s="249"/>
      <c r="P102" s="249"/>
      <c r="Q102" s="249"/>
      <c r="R102" s="83"/>
      <c r="S102" s="83"/>
      <c r="T102" s="83"/>
      <c r="U102" s="83"/>
      <c r="V102" s="83"/>
      <c r="W102" s="83"/>
      <c r="X102" s="83"/>
      <c r="Y102" s="83"/>
      <c r="Z102" s="127"/>
      <c r="AA102" s="127"/>
      <c r="AB102" s="127"/>
      <c r="AC102" s="239"/>
      <c r="AD102" s="127"/>
      <c r="AE102" s="127"/>
      <c r="AF102" s="127"/>
      <c r="AG102" s="127"/>
      <c r="AH102" s="127"/>
      <c r="AI102" s="127"/>
      <c r="AJ102" s="127"/>
      <c r="AK102" s="83"/>
    </row>
    <row r="103" spans="3:37" ht="18" hidden="1" customHeight="1" x14ac:dyDescent="0.3">
      <c r="C103" s="228">
        <v>24</v>
      </c>
      <c r="D103" s="228">
        <v>4</v>
      </c>
      <c r="E103" s="228">
        <v>-2</v>
      </c>
      <c r="F103" s="244">
        <v>-6.5171222895601002E-7</v>
      </c>
      <c r="G103" s="245">
        <f t="shared" si="31"/>
        <v>6.6389911998092826E-5</v>
      </c>
      <c r="H103" s="83"/>
      <c r="I103" s="83"/>
      <c r="J103" s="127"/>
      <c r="K103" s="83"/>
      <c r="L103" s="83"/>
      <c r="M103" s="83"/>
      <c r="N103" s="127"/>
      <c r="O103" s="127"/>
      <c r="P103" s="127"/>
      <c r="Q103" s="127"/>
      <c r="R103" s="83"/>
      <c r="S103" s="83"/>
      <c r="T103" s="83"/>
      <c r="U103" s="83"/>
      <c r="V103" s="83"/>
      <c r="W103" s="83"/>
      <c r="X103" s="83"/>
      <c r="Y103" s="83"/>
      <c r="Z103" s="127"/>
      <c r="AA103" s="127"/>
      <c r="AB103" s="127"/>
      <c r="AC103" s="239"/>
      <c r="AD103" s="127"/>
      <c r="AE103" s="127"/>
      <c r="AF103" s="127"/>
      <c r="AG103" s="127"/>
      <c r="AH103" s="127"/>
      <c r="AI103" s="127"/>
      <c r="AJ103" s="127"/>
      <c r="AK103" s="83"/>
    </row>
    <row r="104" spans="3:37" ht="18" hidden="1" customHeight="1" x14ac:dyDescent="0.3">
      <c r="C104" s="228">
        <v>25</v>
      </c>
      <c r="D104" s="228">
        <v>4</v>
      </c>
      <c r="E104" s="228">
        <v>10</v>
      </c>
      <c r="F104" s="244">
        <v>-1.4341729937923999E-13</v>
      </c>
      <c r="G104" s="245">
        <f t="shared" si="31"/>
        <v>1.0438839671929583E-4</v>
      </c>
      <c r="H104" s="83"/>
      <c r="I104" s="83"/>
      <c r="J104" s="127"/>
      <c r="K104" s="83"/>
      <c r="L104" s="83"/>
      <c r="M104" s="83"/>
      <c r="N104" s="127"/>
      <c r="O104" s="127"/>
      <c r="P104" s="127"/>
      <c r="Q104" s="127"/>
      <c r="R104" s="83"/>
      <c r="S104" s="83"/>
      <c r="T104" s="83"/>
      <c r="U104" s="83"/>
      <c r="V104" s="83"/>
      <c r="W104" s="83"/>
      <c r="X104" s="83"/>
      <c r="Y104" s="83"/>
      <c r="Z104" s="127"/>
      <c r="AA104" s="127"/>
      <c r="AB104" s="127"/>
      <c r="AC104" s="239"/>
      <c r="AD104" s="127"/>
      <c r="AE104" s="127"/>
      <c r="AF104" s="127"/>
      <c r="AG104" s="127"/>
      <c r="AH104" s="127"/>
      <c r="AI104" s="127"/>
      <c r="AJ104" s="127"/>
      <c r="AK104" s="83"/>
    </row>
    <row r="105" spans="3:37" ht="18" hidden="1" customHeight="1" x14ac:dyDescent="0.3">
      <c r="C105" s="228">
        <v>26</v>
      </c>
      <c r="D105" s="228">
        <v>5</v>
      </c>
      <c r="E105" s="228">
        <v>-8</v>
      </c>
      <c r="F105" s="244">
        <v>-4.0516996860117E-7</v>
      </c>
      <c r="G105" s="245">
        <f t="shared" si="31"/>
        <v>1.3646816568438038E-7</v>
      </c>
      <c r="H105" s="83"/>
      <c r="I105" s="83"/>
      <c r="J105" s="127"/>
      <c r="K105" s="83"/>
      <c r="L105" s="83"/>
      <c r="M105" s="83"/>
      <c r="N105" s="127"/>
      <c r="O105" s="127"/>
      <c r="P105" s="127"/>
      <c r="Q105" s="127"/>
      <c r="R105" s="83"/>
      <c r="S105" s="83"/>
      <c r="T105" s="83"/>
      <c r="U105" s="83"/>
      <c r="V105" s="83"/>
      <c r="W105" s="83"/>
      <c r="X105" s="83"/>
      <c r="Y105" s="83"/>
      <c r="Z105" s="127"/>
      <c r="AA105" s="127"/>
      <c r="AB105" s="127"/>
      <c r="AC105" s="239"/>
      <c r="AD105" s="127"/>
      <c r="AE105" s="127"/>
      <c r="AF105" s="127"/>
      <c r="AG105" s="127"/>
      <c r="AH105" s="127"/>
      <c r="AI105" s="127"/>
      <c r="AJ105" s="127"/>
      <c r="AK105" s="83"/>
    </row>
    <row r="106" spans="3:37" ht="18" hidden="1" customHeight="1" x14ac:dyDescent="0.3">
      <c r="C106" s="228">
        <v>27</v>
      </c>
      <c r="D106" s="228">
        <v>8</v>
      </c>
      <c r="E106" s="228">
        <v>-11</v>
      </c>
      <c r="F106" s="244">
        <v>-1.2734301741640999E-9</v>
      </c>
      <c r="G106" s="245">
        <f t="shared" si="31"/>
        <v>4.6914643222027729E-9</v>
      </c>
      <c r="H106" s="83"/>
      <c r="I106" s="83"/>
      <c r="J106" s="127"/>
      <c r="K106" s="83"/>
      <c r="L106" s="83"/>
      <c r="M106" s="83"/>
      <c r="N106" s="127"/>
      <c r="O106" s="127"/>
      <c r="P106" s="127"/>
      <c r="Q106" s="127"/>
      <c r="R106" s="83"/>
      <c r="S106" s="83"/>
      <c r="T106" s="83"/>
      <c r="U106" s="83"/>
      <c r="V106" s="83"/>
      <c r="W106" s="83"/>
      <c r="X106" s="83"/>
      <c r="Y106" s="83"/>
      <c r="Z106" s="127"/>
      <c r="AA106" s="127"/>
      <c r="AB106" s="127"/>
      <c r="AC106" s="239"/>
      <c r="AD106" s="127"/>
      <c r="AE106" s="127"/>
      <c r="AF106" s="127"/>
      <c r="AG106" s="127"/>
      <c r="AH106" s="127"/>
      <c r="AI106" s="127"/>
      <c r="AJ106" s="127"/>
      <c r="AK106" s="83"/>
    </row>
    <row r="107" spans="3:37" ht="18" hidden="1" customHeight="1" x14ac:dyDescent="0.3">
      <c r="C107" s="228">
        <v>28</v>
      </c>
      <c r="D107" s="228">
        <v>8</v>
      </c>
      <c r="E107" s="228">
        <v>-6</v>
      </c>
      <c r="F107" s="244">
        <v>-1.7424871230634001E-10</v>
      </c>
      <c r="G107" s="245">
        <f t="shared" si="31"/>
        <v>4.6061497429686777E-7</v>
      </c>
      <c r="H107" s="83"/>
      <c r="I107" s="83"/>
      <c r="J107" s="127"/>
      <c r="K107" s="83"/>
      <c r="L107" s="83"/>
      <c r="M107" s="83"/>
      <c r="N107" s="127"/>
      <c r="O107" s="127"/>
      <c r="P107" s="127"/>
      <c r="Q107" s="127"/>
      <c r="R107" s="83"/>
      <c r="S107" s="83"/>
      <c r="T107" s="83"/>
      <c r="U107" s="83"/>
      <c r="V107" s="83"/>
      <c r="W107" s="83"/>
      <c r="X107" s="83"/>
      <c r="Y107" s="83"/>
      <c r="Z107" s="127"/>
      <c r="AA107" s="127"/>
      <c r="AB107" s="127"/>
      <c r="AC107" s="239"/>
      <c r="AD107" s="127"/>
      <c r="AE107" s="127"/>
      <c r="AF107" s="127"/>
      <c r="AG107" s="127"/>
      <c r="AH107" s="127"/>
      <c r="AI107" s="127"/>
      <c r="AJ107" s="127"/>
      <c r="AK107" s="83"/>
    </row>
    <row r="108" spans="3:37" ht="18" hidden="1" customHeight="1" x14ac:dyDescent="0.3">
      <c r="C108" s="228">
        <v>29</v>
      </c>
      <c r="D108" s="228">
        <v>21</v>
      </c>
      <c r="E108" s="228">
        <v>-29</v>
      </c>
      <c r="F108" s="244">
        <v>-6.8762131295530996E-19</v>
      </c>
      <c r="G108" s="245">
        <f t="shared" si="31"/>
        <v>3.8417275295175303E-17</v>
      </c>
      <c r="H108" s="83"/>
      <c r="I108" s="83"/>
      <c r="J108" s="127"/>
      <c r="K108" s="83"/>
      <c r="L108" s="83"/>
      <c r="M108" s="83"/>
      <c r="N108" s="127"/>
      <c r="O108" s="127"/>
      <c r="P108" s="127"/>
      <c r="Q108" s="127"/>
      <c r="R108" s="83"/>
      <c r="S108" s="83"/>
      <c r="T108" s="83"/>
      <c r="U108" s="83"/>
      <c r="V108" s="83"/>
      <c r="W108" s="83"/>
      <c r="X108" s="83"/>
      <c r="Y108" s="83"/>
      <c r="Z108" s="127"/>
      <c r="AA108" s="127"/>
      <c r="AB108" s="127"/>
      <c r="AC108" s="239"/>
      <c r="AD108" s="127"/>
      <c r="AE108" s="127"/>
      <c r="AF108" s="127"/>
      <c r="AG108" s="127"/>
      <c r="AH108" s="127"/>
      <c r="AI108" s="127"/>
      <c r="AJ108" s="127"/>
      <c r="AK108" s="83"/>
    </row>
    <row r="109" spans="3:37" ht="18" hidden="1" customHeight="1" x14ac:dyDescent="0.3">
      <c r="C109" s="228">
        <v>30</v>
      </c>
      <c r="D109" s="228">
        <v>23</v>
      </c>
      <c r="E109" s="228">
        <v>-31</v>
      </c>
      <c r="F109" s="244">
        <v>1.4478307828521001E-20</v>
      </c>
      <c r="G109" s="245">
        <f t="shared" si="31"/>
        <v>-3.1911682784208031E-18</v>
      </c>
      <c r="H109" s="83"/>
      <c r="I109" s="83"/>
      <c r="J109" s="127"/>
      <c r="K109" s="83"/>
      <c r="L109" s="83"/>
      <c r="M109" s="83"/>
      <c r="N109" s="127"/>
      <c r="O109" s="127"/>
      <c r="P109" s="127"/>
      <c r="Q109" s="127"/>
      <c r="R109" s="83"/>
      <c r="S109" s="83"/>
      <c r="T109" s="83"/>
      <c r="U109" s="83"/>
      <c r="V109" s="83"/>
      <c r="W109" s="83"/>
      <c r="X109" s="83"/>
      <c r="Y109" s="83"/>
      <c r="Z109" s="127"/>
      <c r="AA109" s="127"/>
      <c r="AB109" s="127"/>
      <c r="AC109" s="239"/>
      <c r="AD109" s="127"/>
      <c r="AE109" s="127"/>
      <c r="AF109" s="127"/>
      <c r="AG109" s="127"/>
      <c r="AH109" s="127"/>
      <c r="AI109" s="127"/>
      <c r="AJ109" s="127"/>
      <c r="AK109" s="83"/>
    </row>
    <row r="110" spans="3:37" ht="18" hidden="1" customHeight="1" x14ac:dyDescent="0.3">
      <c r="C110" s="228">
        <v>31</v>
      </c>
      <c r="D110" s="228">
        <v>29</v>
      </c>
      <c r="E110" s="228">
        <v>-38</v>
      </c>
      <c r="F110" s="244">
        <v>2.6335781662795E-23</v>
      </c>
      <c r="G110" s="245">
        <f t="shared" si="31"/>
        <v>-9.1816264894423856E-20</v>
      </c>
      <c r="H110" s="83"/>
      <c r="I110" s="83"/>
      <c r="J110" s="127"/>
      <c r="K110" s="83"/>
      <c r="L110" s="83"/>
      <c r="M110" s="83"/>
      <c r="N110" s="127"/>
      <c r="O110" s="127"/>
      <c r="P110" s="127"/>
      <c r="Q110" s="127"/>
      <c r="R110" s="83"/>
      <c r="S110" s="83"/>
      <c r="T110" s="83"/>
      <c r="U110" s="83"/>
      <c r="V110" s="83"/>
      <c r="W110" s="83"/>
      <c r="X110" s="83"/>
      <c r="Y110" s="83"/>
      <c r="Z110" s="127"/>
      <c r="AA110" s="127"/>
      <c r="AB110" s="127"/>
      <c r="AC110" s="239"/>
      <c r="AD110" s="127"/>
      <c r="AE110" s="127"/>
      <c r="AF110" s="127"/>
      <c r="AG110" s="127"/>
      <c r="AH110" s="127"/>
      <c r="AI110" s="127"/>
      <c r="AJ110" s="127"/>
      <c r="AK110" s="83"/>
    </row>
    <row r="111" spans="3:37" ht="18" hidden="1" customHeight="1" x14ac:dyDescent="0.3">
      <c r="C111" s="228">
        <v>32</v>
      </c>
      <c r="D111" s="228">
        <v>30</v>
      </c>
      <c r="E111" s="228">
        <v>-39</v>
      </c>
      <c r="F111" s="244">
        <v>-1.1947622640071E-23</v>
      </c>
      <c r="G111" s="245">
        <f t="shared" si="31"/>
        <v>8.1780775924987294E-20</v>
      </c>
      <c r="H111" s="83"/>
      <c r="I111" s="83"/>
      <c r="J111" s="127"/>
      <c r="K111" s="83"/>
      <c r="L111" s="83"/>
      <c r="M111" s="83"/>
      <c r="N111" s="127"/>
      <c r="O111" s="127"/>
      <c r="P111" s="127"/>
      <c r="Q111" s="127"/>
      <c r="R111" s="83"/>
      <c r="S111" s="83"/>
      <c r="T111" s="83"/>
      <c r="U111" s="83"/>
      <c r="V111" s="83"/>
      <c r="W111" s="83"/>
      <c r="X111" s="83"/>
      <c r="Y111" s="83"/>
      <c r="Z111" s="127"/>
      <c r="AA111" s="127"/>
      <c r="AB111" s="127"/>
      <c r="AC111" s="239"/>
      <c r="AD111" s="127"/>
      <c r="AE111" s="127"/>
      <c r="AF111" s="127"/>
      <c r="AG111" s="127"/>
      <c r="AH111" s="127"/>
      <c r="AI111" s="127"/>
      <c r="AJ111" s="127"/>
      <c r="AK111" s="83"/>
    </row>
    <row r="112" spans="3:37" ht="18" hidden="1" customHeight="1" x14ac:dyDescent="0.3">
      <c r="C112" s="228">
        <v>33</v>
      </c>
      <c r="D112" s="228">
        <v>31</v>
      </c>
      <c r="E112" s="228">
        <v>-40</v>
      </c>
      <c r="F112" s="244">
        <v>1.8228094581404E-24</v>
      </c>
      <c r="G112" s="245">
        <f t="shared" si="31"/>
        <v>-2.446946681663089E-20</v>
      </c>
      <c r="H112" s="83"/>
      <c r="I112" s="83"/>
      <c r="J112" s="127"/>
      <c r="K112" s="83"/>
      <c r="L112" s="83"/>
      <c r="M112" s="83"/>
      <c r="N112" s="127"/>
      <c r="O112" s="127"/>
      <c r="P112" s="127"/>
      <c r="Q112" s="127"/>
      <c r="R112" s="83"/>
      <c r="S112" s="83"/>
      <c r="T112" s="83"/>
      <c r="U112" s="83"/>
      <c r="V112" s="83"/>
      <c r="W112" s="83"/>
      <c r="X112" s="83"/>
      <c r="Y112" s="83"/>
      <c r="Z112" s="127"/>
      <c r="AA112" s="127"/>
      <c r="AB112" s="215"/>
      <c r="AC112" s="83"/>
      <c r="AD112" s="127"/>
      <c r="AE112" s="127"/>
      <c r="AF112" s="127"/>
      <c r="AG112" s="127"/>
      <c r="AH112" s="127"/>
      <c r="AI112" s="127"/>
      <c r="AJ112" s="127"/>
      <c r="AK112" s="83"/>
    </row>
    <row r="113" spans="3:38" ht="18" hidden="1" customHeight="1" x14ac:dyDescent="0.3">
      <c r="C113" s="228">
        <v>34</v>
      </c>
      <c r="D113" s="228">
        <v>32</v>
      </c>
      <c r="E113" s="228">
        <v>-41</v>
      </c>
      <c r="F113" s="244">
        <v>-9.3537087292457998E-26</v>
      </c>
      <c r="G113" s="245">
        <f t="shared" si="31"/>
        <v>2.4599621427339124E-21</v>
      </c>
      <c r="H113" s="83"/>
      <c r="I113" s="83"/>
      <c r="J113" s="127"/>
      <c r="K113" s="83"/>
      <c r="L113" s="83"/>
      <c r="M113" s="83"/>
      <c r="N113" s="127"/>
      <c r="O113" s="127"/>
      <c r="P113" s="127"/>
      <c r="Q113" s="127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</row>
    <row r="114" spans="3:38" ht="18" hidden="1" customHeight="1" x14ac:dyDescent="0.3">
      <c r="C114" s="222"/>
      <c r="D114" s="222"/>
      <c r="E114" s="250" t="s">
        <v>151</v>
      </c>
      <c r="F114" s="78">
        <v>0.46152599999999999</v>
      </c>
      <c r="G114" s="251">
        <f>SUM(G88:G113)</f>
        <v>0.12783380203833916</v>
      </c>
      <c r="H114" s="83"/>
      <c r="I114" s="83"/>
      <c r="J114" s="127"/>
      <c r="K114" s="83"/>
      <c r="L114" s="83"/>
      <c r="M114" s="83"/>
      <c r="N114" s="127"/>
      <c r="O114" s="127"/>
      <c r="P114" s="127"/>
      <c r="Q114" s="127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</row>
    <row r="115" spans="3:38" ht="18" hidden="1" customHeight="1" x14ac:dyDescent="0.3">
      <c r="D115" s="252"/>
      <c r="E115" s="142"/>
      <c r="F115" s="142"/>
      <c r="G115" s="142"/>
      <c r="H115" s="83"/>
      <c r="I115" s="83"/>
      <c r="J115" s="127"/>
      <c r="K115" s="83"/>
      <c r="L115" s="83"/>
      <c r="M115" s="83"/>
      <c r="N115" s="127"/>
      <c r="O115" s="127"/>
      <c r="P115" s="127"/>
      <c r="Q115" s="127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</row>
    <row r="116" spans="3:38" ht="18" hidden="1" customHeight="1" x14ac:dyDescent="0.3">
      <c r="D116" s="252"/>
      <c r="E116" s="142"/>
      <c r="F116" s="142"/>
      <c r="G116" s="142"/>
      <c r="H116" s="142"/>
      <c r="I116" s="83"/>
      <c r="J116" s="83"/>
      <c r="K116" s="127"/>
      <c r="L116" s="83"/>
      <c r="M116" s="83"/>
      <c r="N116" s="83"/>
      <c r="O116" s="127"/>
      <c r="P116" s="127"/>
      <c r="Q116" s="127"/>
      <c r="R116" s="127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</row>
    <row r="117" spans="3:38" ht="18" hidden="1" customHeight="1" x14ac:dyDescent="0.3">
      <c r="D117" s="252"/>
      <c r="E117" s="142"/>
      <c r="F117" s="142"/>
      <c r="G117" s="142"/>
      <c r="H117" s="142"/>
      <c r="I117" s="83"/>
      <c r="J117" s="83"/>
      <c r="K117" s="83"/>
      <c r="L117" s="83"/>
      <c r="M117" s="83"/>
      <c r="N117" s="83"/>
      <c r="O117" s="127"/>
      <c r="P117" s="249"/>
      <c r="Q117" s="249"/>
      <c r="R117" s="249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</row>
    <row r="118" spans="3:38" ht="18" hidden="1" customHeight="1" x14ac:dyDescent="0.3">
      <c r="D118" s="252"/>
      <c r="E118" s="142"/>
      <c r="F118" s="142"/>
      <c r="G118" s="142"/>
      <c r="H118" s="142"/>
      <c r="I118" s="83"/>
      <c r="J118" s="83"/>
      <c r="K118" s="83"/>
      <c r="L118" s="83"/>
      <c r="M118" s="83"/>
      <c r="N118" s="83"/>
      <c r="O118" s="127"/>
      <c r="P118" s="127"/>
      <c r="Q118" s="127"/>
      <c r="R118" s="127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</row>
    <row r="119" spans="3:38" hidden="1" x14ac:dyDescent="0.3">
      <c r="D119" s="252"/>
      <c r="E119" s="142"/>
      <c r="F119" s="142"/>
      <c r="G119" s="142"/>
      <c r="H119" s="142"/>
      <c r="I119" s="83"/>
      <c r="J119" s="83"/>
      <c r="K119" s="83"/>
      <c r="L119" s="83"/>
      <c r="M119" s="83"/>
      <c r="N119" s="83"/>
      <c r="O119" s="127"/>
      <c r="P119" s="127"/>
      <c r="Q119" s="127"/>
      <c r="R119" s="127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</row>
    <row r="120" spans="3:38" hidden="1" x14ac:dyDescent="0.3">
      <c r="D120" s="252"/>
      <c r="E120" s="142"/>
      <c r="F120" s="142"/>
      <c r="G120" s="142"/>
      <c r="H120" s="142"/>
      <c r="I120" s="83"/>
      <c r="J120" s="83"/>
      <c r="K120" s="83"/>
      <c r="L120" s="83"/>
      <c r="M120" s="83"/>
      <c r="N120" s="83"/>
      <c r="O120" s="127"/>
      <c r="P120" s="127"/>
      <c r="Q120" s="127"/>
      <c r="R120" s="127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</row>
    <row r="121" spans="3:38" hidden="1" x14ac:dyDescent="0.3">
      <c r="D121" s="252"/>
      <c r="E121" s="142"/>
      <c r="F121" s="142"/>
      <c r="G121" s="142"/>
      <c r="H121" s="142"/>
      <c r="I121" s="83"/>
      <c r="J121" s="83"/>
      <c r="K121" s="83"/>
      <c r="L121" s="83"/>
      <c r="M121" s="83"/>
      <c r="N121" s="83"/>
      <c r="O121" s="127"/>
      <c r="P121" s="127"/>
      <c r="Q121" s="127"/>
      <c r="R121" s="127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</row>
    <row r="122" spans="3:38" hidden="1" x14ac:dyDescent="0.3">
      <c r="D122" s="252"/>
      <c r="E122" s="142"/>
      <c r="F122" s="142"/>
      <c r="G122" s="142"/>
      <c r="H122" s="142"/>
      <c r="I122" s="83"/>
      <c r="J122" s="83"/>
      <c r="K122" s="83"/>
      <c r="L122" s="83"/>
      <c r="M122" s="83"/>
      <c r="N122" s="83"/>
      <c r="O122" s="127"/>
      <c r="P122" s="249"/>
      <c r="Q122" s="249"/>
      <c r="R122" s="249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</row>
    <row r="123" spans="3:38" hidden="1" x14ac:dyDescent="0.3">
      <c r="D123" s="252"/>
      <c r="E123" s="142"/>
      <c r="F123" s="142"/>
      <c r="G123" s="142"/>
      <c r="H123" s="142"/>
      <c r="I123" s="83"/>
      <c r="J123" s="83"/>
      <c r="K123" s="83"/>
      <c r="L123" s="83"/>
      <c r="M123" s="83"/>
      <c r="N123" s="83"/>
      <c r="O123" s="127"/>
      <c r="P123" s="127"/>
      <c r="Q123" s="127"/>
      <c r="R123" s="127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</row>
    <row r="124" spans="3:38" hidden="1" x14ac:dyDescent="0.3">
      <c r="D124" s="252"/>
      <c r="E124" s="142"/>
      <c r="F124" s="142"/>
      <c r="G124" s="142"/>
      <c r="H124" s="142"/>
      <c r="I124" s="83"/>
      <c r="J124" s="83"/>
      <c r="K124" s="83"/>
      <c r="L124" s="83"/>
      <c r="M124" s="83"/>
      <c r="N124" s="83"/>
      <c r="O124" s="127"/>
      <c r="P124" s="127"/>
      <c r="Q124" s="127"/>
      <c r="R124" s="127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</row>
    <row r="125" spans="3:38" hidden="1" x14ac:dyDescent="0.3">
      <c r="D125" s="252"/>
      <c r="E125" s="142"/>
      <c r="F125" s="142"/>
      <c r="G125" s="142"/>
      <c r="H125" s="142"/>
      <c r="I125" s="83"/>
      <c r="J125" s="83"/>
      <c r="K125" s="83"/>
      <c r="L125" s="83"/>
      <c r="M125" s="83"/>
      <c r="N125" s="83"/>
      <c r="O125" s="127"/>
      <c r="P125" s="127"/>
      <c r="Q125" s="127"/>
      <c r="R125" s="127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</row>
    <row r="126" spans="3:38" hidden="1" x14ac:dyDescent="0.3">
      <c r="D126" s="252"/>
      <c r="E126" s="142"/>
      <c r="F126" s="142"/>
      <c r="G126" s="142"/>
      <c r="H126" s="142"/>
      <c r="I126" s="83"/>
      <c r="J126" s="83"/>
      <c r="K126" s="83"/>
      <c r="L126" s="83"/>
      <c r="M126" s="83"/>
      <c r="N126" s="83"/>
      <c r="O126" s="127"/>
      <c r="P126" s="127"/>
      <c r="Q126" s="127"/>
      <c r="R126" s="127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</row>
    <row r="127" spans="3:38" hidden="1" x14ac:dyDescent="0.3">
      <c r="D127" s="83"/>
      <c r="E127" s="83"/>
      <c r="F127" s="83"/>
      <c r="G127" s="83"/>
      <c r="H127" s="142"/>
      <c r="I127" s="83"/>
      <c r="J127" s="83"/>
      <c r="K127" s="83"/>
      <c r="L127" s="83"/>
      <c r="M127" s="83"/>
      <c r="N127" s="83"/>
      <c r="O127" s="127"/>
      <c r="P127" s="249"/>
      <c r="Q127" s="249"/>
      <c r="R127" s="249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</row>
    <row r="128" spans="3:38" hidden="1" x14ac:dyDescent="0.3"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27"/>
      <c r="P128" s="127"/>
      <c r="Q128" s="127"/>
      <c r="R128" s="127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</row>
    <row r="129" spans="4:28" hidden="1" x14ac:dyDescent="0.3">
      <c r="D129" s="83"/>
      <c r="E129" s="253"/>
      <c r="F129" s="253"/>
      <c r="G129" s="253"/>
      <c r="H129" s="83"/>
      <c r="I129" s="83"/>
      <c r="J129" s="83"/>
      <c r="K129" s="83"/>
      <c r="L129" s="83"/>
      <c r="M129" s="83"/>
      <c r="N129" s="83"/>
      <c r="O129" s="127"/>
      <c r="P129" s="127"/>
      <c r="Q129" s="127"/>
      <c r="R129" s="127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</row>
    <row r="130" spans="4:28" ht="15" hidden="1" x14ac:dyDescent="0.35">
      <c r="D130" s="254"/>
      <c r="E130" s="190"/>
      <c r="F130" s="254"/>
      <c r="G130" s="254"/>
      <c r="H130" s="253"/>
      <c r="I130" s="83"/>
      <c r="J130" s="83"/>
      <c r="K130" s="83"/>
      <c r="L130" s="83"/>
      <c r="M130" s="83"/>
      <c r="N130" s="83"/>
      <c r="O130" s="127"/>
      <c r="P130" s="249"/>
      <c r="Q130" s="249"/>
      <c r="R130" s="249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</row>
    <row r="131" spans="4:28" ht="15.45" hidden="1" x14ac:dyDescent="0.3">
      <c r="D131" s="233"/>
      <c r="E131" s="233"/>
      <c r="F131" s="233"/>
      <c r="G131" s="234"/>
      <c r="H131" s="254"/>
      <c r="I131" s="83"/>
      <c r="J131" s="83"/>
      <c r="K131" s="83"/>
      <c r="L131" s="83"/>
      <c r="M131" s="83"/>
      <c r="N131" s="83"/>
      <c r="O131" s="127"/>
      <c r="P131" s="249"/>
      <c r="Q131" s="249"/>
      <c r="R131" s="249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</row>
    <row r="132" spans="4:28" hidden="1" x14ac:dyDescent="0.3">
      <c r="D132" s="255"/>
      <c r="E132" s="252"/>
      <c r="F132" s="142"/>
      <c r="G132" s="142"/>
      <c r="H132" s="233"/>
      <c r="I132" s="83"/>
      <c r="J132" s="83"/>
      <c r="K132" s="83"/>
      <c r="L132" s="83"/>
      <c r="M132" s="83"/>
      <c r="N132" s="83"/>
      <c r="O132" s="127"/>
      <c r="P132" s="249"/>
      <c r="Q132" s="249"/>
      <c r="R132" s="249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</row>
    <row r="133" spans="4:28" hidden="1" x14ac:dyDescent="0.3">
      <c r="D133" s="142"/>
      <c r="E133" s="252"/>
      <c r="F133" s="142"/>
      <c r="G133" s="142"/>
      <c r="H133" s="142"/>
      <c r="I133" s="83"/>
      <c r="J133" s="83"/>
      <c r="K133" s="83"/>
      <c r="L133" s="83"/>
      <c r="M133" s="83"/>
      <c r="N133" s="83"/>
      <c r="O133" s="127"/>
      <c r="P133" s="127"/>
      <c r="Q133" s="127"/>
      <c r="R133" s="127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</row>
    <row r="134" spans="4:28" hidden="1" x14ac:dyDescent="0.3">
      <c r="D134" s="142"/>
      <c r="E134" s="252"/>
      <c r="F134" s="142"/>
      <c r="G134" s="142"/>
      <c r="H134" s="142"/>
      <c r="I134" s="83"/>
      <c r="J134" s="83"/>
      <c r="K134" s="83"/>
      <c r="L134" s="83"/>
      <c r="M134" s="83"/>
      <c r="N134" s="83"/>
      <c r="O134" s="127"/>
      <c r="P134" s="249"/>
      <c r="Q134" s="249"/>
      <c r="R134" s="249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</row>
    <row r="135" spans="4:28" hidden="1" x14ac:dyDescent="0.3">
      <c r="D135" s="142"/>
      <c r="E135" s="252"/>
      <c r="F135" s="142"/>
      <c r="G135" s="142"/>
      <c r="H135" s="142"/>
      <c r="I135" s="83"/>
      <c r="J135" s="83"/>
      <c r="K135" s="83"/>
      <c r="L135" s="83"/>
      <c r="M135" s="83"/>
      <c r="N135" s="83"/>
      <c r="O135" s="127"/>
      <c r="P135" s="249"/>
      <c r="Q135" s="249"/>
      <c r="R135" s="249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</row>
    <row r="136" spans="4:28" hidden="1" x14ac:dyDescent="0.3">
      <c r="D136" s="142"/>
      <c r="E136" s="252"/>
      <c r="F136" s="142"/>
      <c r="G136" s="142"/>
      <c r="H136" s="142"/>
      <c r="I136" s="83"/>
      <c r="J136" s="83"/>
      <c r="K136" s="83"/>
      <c r="L136" s="83"/>
      <c r="M136" s="83"/>
      <c r="N136" s="83"/>
      <c r="O136" s="127"/>
      <c r="P136" s="249"/>
      <c r="Q136" s="249"/>
      <c r="R136" s="249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</row>
    <row r="137" spans="4:28" hidden="1" x14ac:dyDescent="0.3">
      <c r="D137" s="142"/>
      <c r="E137" s="252"/>
      <c r="F137" s="252"/>
      <c r="G137" s="252"/>
      <c r="H137" s="142"/>
      <c r="I137" s="83"/>
      <c r="J137" s="83"/>
      <c r="K137" s="83"/>
      <c r="L137" s="83"/>
      <c r="M137" s="83"/>
      <c r="N137" s="83"/>
      <c r="O137" s="127"/>
      <c r="P137" s="249"/>
      <c r="Q137" s="249"/>
      <c r="R137" s="249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</row>
    <row r="138" spans="4:28" hidden="1" x14ac:dyDescent="0.3">
      <c r="D138" s="142"/>
      <c r="E138" s="252"/>
      <c r="F138" s="142"/>
      <c r="G138" s="142"/>
      <c r="H138" s="252"/>
      <c r="I138" s="83"/>
      <c r="J138" s="83"/>
      <c r="K138" s="83"/>
      <c r="L138" s="83"/>
      <c r="M138" s="83"/>
      <c r="N138" s="83"/>
      <c r="O138" s="127"/>
      <c r="P138" s="127"/>
      <c r="Q138" s="127"/>
      <c r="R138" s="127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</row>
    <row r="139" spans="4:28" hidden="1" x14ac:dyDescent="0.3">
      <c r="D139" s="142"/>
      <c r="E139" s="252"/>
      <c r="F139" s="142"/>
      <c r="G139" s="142"/>
      <c r="H139" s="142"/>
      <c r="I139" s="83"/>
      <c r="J139" s="83"/>
      <c r="K139" s="83"/>
      <c r="L139" s="83"/>
      <c r="M139" s="83"/>
      <c r="N139" s="83"/>
      <c r="O139" s="127"/>
      <c r="P139" s="249"/>
      <c r="Q139" s="249"/>
      <c r="R139" s="249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</row>
    <row r="140" spans="4:28" hidden="1" x14ac:dyDescent="0.3">
      <c r="D140" s="142"/>
      <c r="E140" s="252"/>
      <c r="F140" s="142"/>
      <c r="G140" s="142"/>
      <c r="H140" s="142"/>
      <c r="I140" s="83"/>
      <c r="J140" s="83"/>
      <c r="K140" s="83"/>
      <c r="L140" s="83"/>
      <c r="M140" s="83"/>
      <c r="N140" s="83"/>
      <c r="O140" s="127"/>
      <c r="P140" s="249"/>
      <c r="Q140" s="249"/>
      <c r="R140" s="249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</row>
    <row r="141" spans="4:28" hidden="1" x14ac:dyDescent="0.3">
      <c r="D141" s="142"/>
      <c r="E141" s="252"/>
      <c r="F141" s="142"/>
      <c r="G141" s="142"/>
      <c r="H141" s="142"/>
      <c r="I141" s="83"/>
      <c r="J141" s="83"/>
      <c r="K141" s="83"/>
      <c r="L141" s="83"/>
      <c r="M141" s="83"/>
      <c r="N141" s="83"/>
      <c r="O141" s="127"/>
      <c r="P141" s="249"/>
      <c r="Q141" s="249"/>
      <c r="R141" s="249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</row>
    <row r="142" spans="4:28" hidden="1" x14ac:dyDescent="0.3">
      <c r="D142" s="142"/>
      <c r="E142" s="42"/>
      <c r="F142" s="142"/>
      <c r="G142" s="142"/>
      <c r="H142" s="142"/>
      <c r="I142" s="83"/>
      <c r="J142" s="83"/>
      <c r="K142" s="83"/>
      <c r="L142" s="83"/>
      <c r="M142" s="83"/>
      <c r="N142" s="83"/>
      <c r="O142" s="127"/>
      <c r="P142" s="249"/>
      <c r="Q142" s="249"/>
      <c r="R142" s="249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</row>
    <row r="143" spans="4:28" hidden="1" x14ac:dyDescent="0.3">
      <c r="D143" s="142"/>
      <c r="E143" s="42"/>
      <c r="F143" s="198"/>
      <c r="G143" s="198"/>
      <c r="H143" s="142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</row>
    <row r="144" spans="4:28" hidden="1" x14ac:dyDescent="0.3">
      <c r="D144" s="142"/>
      <c r="E144" s="252"/>
      <c r="F144" s="142"/>
      <c r="G144" s="142"/>
      <c r="H144" s="198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</row>
    <row r="145" spans="4:28" hidden="1" x14ac:dyDescent="0.3">
      <c r="D145" s="142"/>
      <c r="E145" s="252"/>
      <c r="F145" s="142"/>
      <c r="G145" s="142"/>
      <c r="H145" s="142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</row>
    <row r="146" spans="4:28" hidden="1" x14ac:dyDescent="0.3">
      <c r="D146" s="142"/>
      <c r="E146" s="252"/>
      <c r="F146" s="142"/>
      <c r="G146" s="142"/>
      <c r="H146" s="142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</row>
    <row r="147" spans="4:28" hidden="1" x14ac:dyDescent="0.3">
      <c r="D147" s="142"/>
      <c r="E147" s="252"/>
      <c r="F147" s="142"/>
      <c r="G147" s="142"/>
      <c r="H147" s="142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</row>
    <row r="148" spans="4:28" hidden="1" x14ac:dyDescent="0.3">
      <c r="D148" s="142"/>
      <c r="E148" s="252"/>
      <c r="F148" s="142"/>
      <c r="G148" s="142"/>
      <c r="H148" s="142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</row>
    <row r="149" spans="4:28" hidden="1" x14ac:dyDescent="0.3">
      <c r="D149" s="142"/>
      <c r="E149" s="252"/>
      <c r="F149" s="142"/>
      <c r="G149" s="142"/>
      <c r="H149" s="142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</row>
    <row r="150" spans="4:28" hidden="1" x14ac:dyDescent="0.3">
      <c r="D150" s="142"/>
      <c r="E150" s="252"/>
      <c r="F150" s="142"/>
      <c r="G150" s="142"/>
      <c r="H150" s="142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</row>
    <row r="151" spans="4:28" hidden="1" x14ac:dyDescent="0.3">
      <c r="D151" s="142"/>
      <c r="E151" s="252"/>
      <c r="F151" s="142"/>
      <c r="G151" s="142"/>
      <c r="H151" s="142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</row>
    <row r="152" spans="4:28" hidden="1" x14ac:dyDescent="0.3">
      <c r="D152" s="142"/>
      <c r="E152" s="252"/>
      <c r="F152" s="142"/>
      <c r="G152" s="142"/>
      <c r="H152" s="142"/>
      <c r="I152" s="83"/>
    </row>
    <row r="153" spans="4:28" hidden="1" x14ac:dyDescent="0.3">
      <c r="D153" s="142"/>
      <c r="E153" s="252"/>
      <c r="F153" s="142"/>
      <c r="G153" s="142"/>
      <c r="H153" s="142"/>
      <c r="I153" s="83"/>
    </row>
    <row r="154" spans="4:28" hidden="1" x14ac:dyDescent="0.3">
      <c r="D154" s="142"/>
      <c r="E154" s="252"/>
      <c r="F154" s="142"/>
      <c r="G154" s="142"/>
      <c r="H154" s="142"/>
      <c r="I154" s="83"/>
    </row>
    <row r="155" spans="4:28" hidden="1" x14ac:dyDescent="0.3">
      <c r="D155" s="142"/>
      <c r="E155" s="252"/>
      <c r="F155" s="142"/>
      <c r="G155" s="142"/>
      <c r="H155" s="142"/>
      <c r="I155" s="83"/>
    </row>
    <row r="156" spans="4:28" hidden="1" x14ac:dyDescent="0.3">
      <c r="D156" s="142"/>
      <c r="E156" s="252"/>
      <c r="F156" s="252"/>
      <c r="G156" s="142"/>
      <c r="H156" s="142"/>
      <c r="I156" s="83"/>
    </row>
    <row r="157" spans="4:28" hidden="1" x14ac:dyDescent="0.3">
      <c r="D157" s="142"/>
      <c r="E157" s="252"/>
      <c r="F157" s="252"/>
      <c r="G157" s="142"/>
      <c r="H157" s="142"/>
      <c r="I157" s="83"/>
    </row>
    <row r="158" spans="4:28" hidden="1" x14ac:dyDescent="0.3">
      <c r="D158" s="142"/>
      <c r="E158" s="252"/>
      <c r="F158" s="252"/>
      <c r="G158" s="142"/>
      <c r="H158" s="142"/>
      <c r="I158" s="83"/>
    </row>
    <row r="159" spans="4:28" hidden="1" x14ac:dyDescent="0.3">
      <c r="D159" s="142"/>
      <c r="E159" s="252"/>
      <c r="F159" s="252"/>
      <c r="G159" s="142"/>
      <c r="H159" s="142"/>
      <c r="I159" s="83"/>
    </row>
    <row r="160" spans="4:28" hidden="1" x14ac:dyDescent="0.3">
      <c r="D160" s="142"/>
      <c r="E160" s="252"/>
      <c r="F160" s="252"/>
      <c r="G160" s="142"/>
      <c r="H160" s="142"/>
      <c r="I160" s="83"/>
    </row>
    <row r="161" spans="4:9" hidden="1" x14ac:dyDescent="0.3">
      <c r="D161" s="142"/>
      <c r="E161" s="252"/>
      <c r="F161" s="252"/>
      <c r="G161" s="142"/>
      <c r="H161" s="142"/>
      <c r="I161" s="83"/>
    </row>
    <row r="162" spans="4:9" hidden="1" x14ac:dyDescent="0.3">
      <c r="D162" s="142"/>
      <c r="E162" s="252"/>
      <c r="F162" s="142"/>
      <c r="G162" s="142"/>
      <c r="H162" s="142"/>
    </row>
    <row r="163" spans="4:9" hidden="1" x14ac:dyDescent="0.3">
      <c r="D163" s="142"/>
      <c r="E163" s="252"/>
      <c r="F163" s="142"/>
      <c r="G163" s="142"/>
      <c r="H163" s="142"/>
    </row>
    <row r="164" spans="4:9" hidden="1" x14ac:dyDescent="0.3">
      <c r="D164" s="142"/>
      <c r="E164" s="252"/>
      <c r="F164" s="142"/>
      <c r="G164" s="142"/>
      <c r="H164" s="142"/>
    </row>
    <row r="165" spans="4:9" hidden="1" x14ac:dyDescent="0.3">
      <c r="D165" s="142"/>
      <c r="E165" s="252"/>
      <c r="F165" s="142"/>
      <c r="G165" s="142"/>
      <c r="H165" s="142"/>
    </row>
    <row r="166" spans="4:9" hidden="1" x14ac:dyDescent="0.3">
      <c r="D166" s="142"/>
      <c r="E166" s="252"/>
      <c r="F166" s="142"/>
      <c r="G166" s="142"/>
      <c r="H166" s="142"/>
    </row>
    <row r="167" spans="4:9" hidden="1" x14ac:dyDescent="0.3">
      <c r="D167" s="142"/>
      <c r="E167" s="252"/>
      <c r="F167" s="142"/>
      <c r="G167" s="142"/>
      <c r="H167" s="142"/>
    </row>
    <row r="168" spans="4:9" hidden="1" x14ac:dyDescent="0.3">
      <c r="D168" s="142"/>
      <c r="E168" s="252"/>
      <c r="F168" s="142"/>
      <c r="G168" s="142"/>
      <c r="H168" s="142"/>
    </row>
    <row r="169" spans="4:9" hidden="1" x14ac:dyDescent="0.3">
      <c r="D169" s="142"/>
      <c r="E169" s="252"/>
      <c r="F169" s="142"/>
      <c r="G169" s="142"/>
      <c r="H169" s="142"/>
    </row>
    <row r="170" spans="4:9" hidden="1" x14ac:dyDescent="0.3">
      <c r="D170" s="142"/>
      <c r="E170" s="252"/>
      <c r="F170" s="142"/>
      <c r="G170" s="142"/>
      <c r="H170" s="142"/>
    </row>
    <row r="171" spans="4:9" hidden="1" x14ac:dyDescent="0.3">
      <c r="D171" s="142"/>
      <c r="E171" s="252"/>
      <c r="F171" s="142"/>
      <c r="G171" s="142"/>
      <c r="H171" s="142"/>
    </row>
    <row r="172" spans="4:9" x14ac:dyDescent="0.3">
      <c r="D172" s="142"/>
      <c r="E172" s="252"/>
      <c r="F172" s="142"/>
      <c r="G172" s="142"/>
      <c r="H172" s="142"/>
    </row>
    <row r="173" spans="4:9" x14ac:dyDescent="0.3">
      <c r="D173" s="142"/>
      <c r="E173" s="252"/>
      <c r="F173" s="142"/>
      <c r="G173" s="142"/>
      <c r="H173" s="142"/>
    </row>
    <row r="174" spans="4:9" x14ac:dyDescent="0.3">
      <c r="D174" s="142"/>
      <c r="E174" s="252"/>
      <c r="F174" s="142"/>
      <c r="G174" s="142"/>
      <c r="H174" s="142"/>
    </row>
    <row r="175" spans="4:9" x14ac:dyDescent="0.3">
      <c r="D175" s="142"/>
      <c r="E175" s="252"/>
      <c r="F175" s="142"/>
      <c r="G175" s="142"/>
      <c r="H175" s="142"/>
    </row>
    <row r="176" spans="4:9" x14ac:dyDescent="0.3">
      <c r="D176" s="142"/>
      <c r="E176" s="252"/>
      <c r="F176" s="142"/>
      <c r="G176" s="142"/>
      <c r="H176" s="142"/>
    </row>
    <row r="177" spans="4:8" x14ac:dyDescent="0.3">
      <c r="D177" s="142"/>
      <c r="E177" s="252"/>
      <c r="F177" s="142"/>
      <c r="G177" s="142"/>
      <c r="H177" s="142"/>
    </row>
    <row r="178" spans="4:8" x14ac:dyDescent="0.3">
      <c r="D178" s="142"/>
      <c r="E178" s="252"/>
      <c r="F178" s="142"/>
      <c r="G178" s="142"/>
      <c r="H178" s="142"/>
    </row>
    <row r="179" spans="4:8" x14ac:dyDescent="0.3">
      <c r="D179" s="142"/>
      <c r="E179" s="252"/>
      <c r="F179" s="142"/>
      <c r="G179" s="142"/>
      <c r="H179" s="142"/>
    </row>
    <row r="180" spans="4:8" x14ac:dyDescent="0.3">
      <c r="D180" s="83"/>
      <c r="E180" s="83"/>
      <c r="F180" s="83"/>
      <c r="G180" s="83"/>
      <c r="H180" s="142"/>
    </row>
    <row r="181" spans="4:8" x14ac:dyDescent="0.3">
      <c r="D181" s="83"/>
      <c r="E181" s="83"/>
      <c r="F181" s="83"/>
      <c r="G181" s="83"/>
      <c r="H181" s="83"/>
    </row>
    <row r="182" spans="4:8" x14ac:dyDescent="0.3">
      <c r="D182" s="83"/>
      <c r="E182" s="83"/>
      <c r="F182" s="83"/>
      <c r="G182" s="83"/>
      <c r="H182" s="83"/>
    </row>
    <row r="183" spans="4:8" x14ac:dyDescent="0.3">
      <c r="D183" s="83"/>
      <c r="E183" s="83"/>
      <c r="F183" s="83"/>
      <c r="G183" s="83"/>
      <c r="H183" s="83"/>
    </row>
    <row r="184" spans="4:8" x14ac:dyDescent="0.3">
      <c r="D184" s="83"/>
      <c r="E184" s="83"/>
      <c r="F184" s="83"/>
      <c r="G184" s="83"/>
      <c r="H184" s="83"/>
    </row>
    <row r="185" spans="4:8" x14ac:dyDescent="0.3">
      <c r="D185" s="83"/>
      <c r="E185" s="83"/>
      <c r="F185" s="83"/>
      <c r="G185" s="83"/>
      <c r="H185" s="83"/>
    </row>
    <row r="186" spans="4:8" x14ac:dyDescent="0.3">
      <c r="D186" s="83"/>
      <c r="E186" s="83"/>
      <c r="F186" s="83"/>
      <c r="G186" s="83"/>
      <c r="H186" s="83"/>
    </row>
    <row r="187" spans="4:8" x14ac:dyDescent="0.3">
      <c r="D187" s="83"/>
      <c r="E187" s="83"/>
      <c r="F187" s="83"/>
      <c r="G187" s="83"/>
      <c r="H187" s="83"/>
    </row>
    <row r="188" spans="4:8" x14ac:dyDescent="0.3">
      <c r="D188" s="83"/>
      <c r="E188" s="83"/>
      <c r="F188" s="83"/>
      <c r="G188" s="83"/>
      <c r="H188" s="83"/>
    </row>
    <row r="189" spans="4:8" x14ac:dyDescent="0.3">
      <c r="H189" s="83"/>
    </row>
  </sheetData>
  <sheetProtection algorithmName="SHA-512" hashValue="x47R1PlqRCiuTVx1UIGAwKvGMVGAorJ20GrAW3kZiNEbDVlrreIJPTfUt078yUYPOyn10Hsbrl98drUNDIoe1Q==" saltValue="+QE12VnoFper0mijghrxpg==" spinCount="100000" sheet="1" objects="1" scenarios="1"/>
  <customSheetViews>
    <customSheetView guid="{AAE00E0F-58A4-431B-A945-2FAABDFF301E}" scale="70" showGridLines="0" hiddenRows="1" hiddenColumns="1">
      <selection activeCell="AW19" sqref="AW19"/>
      <pageMargins left="0.75" right="0.75" top="1" bottom="1" header="0.5" footer="0.5"/>
      <pageSetup paperSize="9" orientation="portrait" r:id="rId1"/>
      <headerFooter alignWithMargins="0"/>
    </customSheetView>
  </customSheetViews>
  <mergeCells count="35">
    <mergeCell ref="AG1:AH1"/>
    <mergeCell ref="Z2:AA2"/>
    <mergeCell ref="AG2:AK2"/>
    <mergeCell ref="B32:D32"/>
    <mergeCell ref="B33:D33"/>
    <mergeCell ref="C4:E4"/>
    <mergeCell ref="C5:E5"/>
    <mergeCell ref="C6:E6"/>
    <mergeCell ref="B2:G2"/>
    <mergeCell ref="B23:D23"/>
    <mergeCell ref="B48:D48"/>
    <mergeCell ref="B25:D25"/>
    <mergeCell ref="B35:D35"/>
    <mergeCell ref="B41:D41"/>
    <mergeCell ref="B26:D26"/>
    <mergeCell ref="B39:D39"/>
    <mergeCell ref="B42:D42"/>
    <mergeCell ref="B43:D43"/>
    <mergeCell ref="B27:D27"/>
    <mergeCell ref="AM2:AQ2"/>
    <mergeCell ref="AU2:AV2"/>
    <mergeCell ref="O75:R75"/>
    <mergeCell ref="B51:D51"/>
    <mergeCell ref="B28:D28"/>
    <mergeCell ref="B29:D29"/>
    <mergeCell ref="B30:D30"/>
    <mergeCell ref="B31:D31"/>
    <mergeCell ref="B50:D50"/>
    <mergeCell ref="B52:D52"/>
    <mergeCell ref="B46:D46"/>
    <mergeCell ref="B47:D47"/>
    <mergeCell ref="B45:D45"/>
    <mergeCell ref="B36:D36"/>
    <mergeCell ref="B37:D37"/>
    <mergeCell ref="B38:D38"/>
  </mergeCells>
  <phoneticPr fontId="2" type="noConversion"/>
  <conditionalFormatting sqref="E52 F51 T35:T41 AD29:AE41 T29 W36:W41 Q42:AR42 AR29:AR41 W29:W30 Z37:Z41 R29:S41 Z29:Z31 AC39:AC41 U29:V41 AC29:AC32 AF39:AF41 X29:Y41 AF29:AF33 AK40:AK41 AA29:AB41 AK29:AK34 AN29:AQ36 Q33:Q41 AL29:AM41 AG30:AJ41 AU33:BH33 P29:P42 AH29:AJ29">
    <cfRule type="cellIs" dxfId="64" priority="5" stopIfTrue="1" operator="equal">
      <formula>TRUE</formula>
    </cfRule>
  </conditionalFormatting>
  <conditionalFormatting sqref="E50 F49">
    <cfRule type="cellIs" dxfId="63" priority="6" stopIfTrue="1" operator="greaterThan">
      <formula>3</formula>
    </cfRule>
  </conditionalFormatting>
  <conditionalFormatting sqref="E28:E29 B28:B29">
    <cfRule type="expression" dxfId="62" priority="31" stopIfTrue="1">
      <formula>$E$26=$D$63</formula>
    </cfRule>
  </conditionalFormatting>
  <conditionalFormatting sqref="E27 B27">
    <cfRule type="expression" dxfId="61" priority="2">
      <formula>$E$26=$D$64</formula>
    </cfRule>
    <cfRule type="expression" dxfId="60" priority="35" stopIfTrue="1">
      <formula>$E$26=$D$65</formula>
    </cfRule>
  </conditionalFormatting>
  <conditionalFormatting sqref="AM4:AQ13 AS4:AT13">
    <cfRule type="cellIs" dxfId="59" priority="3" stopIfTrue="1" operator="equal">
      <formula>TRUE</formula>
    </cfRule>
  </conditionalFormatting>
  <conditionalFormatting sqref="E27">
    <cfRule type="expression" dxfId="58" priority="36" stopIfTrue="1">
      <formula>$E$26=$D$63</formula>
    </cfRule>
  </conditionalFormatting>
  <conditionalFormatting sqref="E28:E29">
    <cfRule type="expression" dxfId="57" priority="32" stopIfTrue="1">
      <formula>OR($E$26=$D$64,$E$26=$D$65)</formula>
    </cfRule>
  </conditionalFormatting>
  <dataValidations count="3">
    <dataValidation type="list" allowBlank="1" showInputMessage="1" showErrorMessage="1" sqref="E32" xr:uid="{00000000-0002-0000-0800-000000000000}">
      <formula1>Control_DU_Tr</formula1>
    </dataValidation>
    <dataValidation type="list" allowBlank="1" showInputMessage="1" showErrorMessage="1" sqref="E26" xr:uid="{00000000-0002-0000-0800-000001000000}">
      <formula1>$D$63:$D$65</formula1>
    </dataValidation>
    <dataValidation type="list" allowBlank="1" showInputMessage="1" showErrorMessage="1" sqref="E23" xr:uid="{27809E79-533B-40EF-AB18-080F91EC50FA}">
      <formula1>Метод_подбора</formula1>
    </dataValidation>
  </dataValidations>
  <pageMargins left="0.25" right="0.25" top="0.75" bottom="0.75" header="0.3" footer="0.3"/>
  <pageSetup paperSize="9" scale="59" fitToHeight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rgb="FF00B050"/>
    <pageSetUpPr fitToPage="1"/>
  </sheetPr>
  <dimension ref="A1:BW209"/>
  <sheetViews>
    <sheetView showGridLines="0" showRowColHeaders="0" zoomScale="85" zoomScaleNormal="85" zoomScalePageLayoutView="70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12.3828125" style="6" customWidth="1"/>
    <col min="7" max="7" width="16.3046875" style="6" customWidth="1"/>
    <col min="8" max="8" width="10.69140625" style="6" customWidth="1"/>
    <col min="9" max="9" width="13.53515625" style="6" customWidth="1"/>
    <col min="10" max="10" width="13.3828125" style="6" hidden="1" customWidth="1"/>
    <col min="11" max="11" width="10.69140625" style="6" hidden="1" customWidth="1"/>
    <col min="12" max="12" width="18.69140625" style="6" hidden="1" customWidth="1"/>
    <col min="13" max="18" width="12.69140625" style="6" hidden="1" customWidth="1"/>
    <col min="19" max="19" width="22.843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0.3046875" style="6" hidden="1" customWidth="1"/>
    <col min="45" max="45" width="13.69140625" style="6" hidden="1" customWidth="1"/>
    <col min="46" max="46" width="16.3828125" style="6" hidden="1" customWidth="1"/>
    <col min="47" max="49" width="13.69140625" style="6" hidden="1" customWidth="1"/>
    <col min="50" max="60" width="13.69140625" style="6" customWidth="1"/>
    <col min="61" max="61" width="9.15234375" style="6" customWidth="1"/>
    <col min="62" max="16384" width="9.15234375" style="6"/>
  </cols>
  <sheetData>
    <row r="1" spans="2:59" ht="18" customHeight="1" thickBot="1" x14ac:dyDescent="0.35">
      <c r="I1" s="256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301"/>
      <c r="BG1" s="301"/>
    </row>
    <row r="2" spans="2:59" ht="18" customHeight="1" thickBot="1" x14ac:dyDescent="0.55000000000000004">
      <c r="B2" s="827" t="s">
        <v>393</v>
      </c>
      <c r="C2" s="827"/>
      <c r="D2" s="827"/>
      <c r="E2" s="827"/>
      <c r="F2" s="418"/>
      <c r="G2" s="418"/>
      <c r="H2" s="418"/>
      <c r="I2" s="418"/>
      <c r="J2" s="347"/>
      <c r="K2" s="8"/>
      <c r="N2" s="262"/>
      <c r="O2" s="263" t="s">
        <v>406</v>
      </c>
      <c r="P2" s="264">
        <f>MATCH(M6,DyTr_New,0)</f>
        <v>16</v>
      </c>
      <c r="Q2" s="265">
        <f ca="1">MATCH(TRUE,AO4:AO13,0)</f>
        <v>5</v>
      </c>
      <c r="R2" s="266" t="s">
        <v>103</v>
      </c>
      <c r="S2" s="267"/>
      <c r="U2" s="268">
        <f ca="1">MATCH(TRUE,AO4:AO13,0)</f>
        <v>5</v>
      </c>
      <c r="V2" s="269" t="s">
        <v>407</v>
      </c>
      <c r="W2" s="270"/>
      <c r="X2" s="270"/>
      <c r="Y2" s="270"/>
      <c r="Z2" s="813" t="s">
        <v>206</v>
      </c>
      <c r="AA2" s="813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>
        <f ca="1">MATCH(TRUE,AO4:AO13,0)</f>
        <v>5</v>
      </c>
      <c r="AP2" s="273">
        <f ca="1">MATCH(TRUE,AP4:AP13,0)</f>
        <v>5</v>
      </c>
      <c r="AQ2" s="802" t="s">
        <v>69</v>
      </c>
      <c r="AR2" s="803"/>
      <c r="AS2" s="259"/>
      <c r="AT2" s="259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301"/>
      <c r="BG2" s="301"/>
    </row>
    <row r="3" spans="2:59" ht="18" customHeight="1" x14ac:dyDescent="0.3">
      <c r="B3" s="274"/>
      <c r="C3" s="274"/>
      <c r="D3" s="275"/>
      <c r="E3" s="274"/>
      <c r="F3" s="274"/>
      <c r="G3" s="274"/>
      <c r="H3" s="8"/>
      <c r="I3" s="8"/>
      <c r="K3" s="8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IF(ISERROR(AO2),IF(ISERROR(AP2),"НЕТ",OFFSET(Q4,AP2-1,0,1)&amp;"-"&amp;OFFSET(AN4,AP2-1,0,1)&amp;"-Фланец"),OFFSET(Q4,AO2-1,0,1)&amp;"-"&amp;OFFSET(AN4,AO2-1,0,1)&amp;"-Сэндвич")</f>
        <v>ПРЭМ-40-D-Сэндвич</v>
      </c>
      <c r="AT3" s="284" t="str">
        <f ca="1">IF(ISERROR(AO2),IF(ISERROR(AP2),"НЕТ",OFFSET(Q4,AP2-1,0,1)&amp;"-"&amp;OFFSET(AN4,AP2-1,0,1)),OFFSET(Q4,AO2-1,0,1)&amp;"-"&amp;OFFSET(AN4,AO2-1,0,1))</f>
        <v>ПРЭМ-40-D</v>
      </c>
      <c r="AU3" s="345"/>
      <c r="AW3" s="41"/>
      <c r="AX3" s="41"/>
      <c r="AY3" s="41"/>
      <c r="AZ3" s="41"/>
      <c r="BA3" s="41"/>
      <c r="BC3" s="41"/>
      <c r="BD3" s="41"/>
      <c r="BE3" s="41"/>
      <c r="BF3" s="301"/>
      <c r="BG3" s="301"/>
    </row>
    <row r="4" spans="2:59" ht="18" customHeight="1" x14ac:dyDescent="0.3">
      <c r="B4" s="285" t="s">
        <v>117</v>
      </c>
      <c r="C4" s="788"/>
      <c r="D4" s="789"/>
      <c r="E4" s="790"/>
      <c r="F4" s="419"/>
      <c r="G4" s="420"/>
      <c r="I4" s="420"/>
      <c r="K4" s="8"/>
      <c r="L4" s="287" t="s">
        <v>74</v>
      </c>
      <c r="M4" s="288">
        <v>0.5</v>
      </c>
      <c r="N4" s="88">
        <f ca="1">OFFSET(DyTr_New,P2-1,1,1)</f>
        <v>6</v>
      </c>
      <c r="O4" s="88">
        <v>1</v>
      </c>
      <c r="P4" s="93" t="str">
        <f ca="1">IF(O4&lt;=$N$4,OFFSET(DyTr_New,$P$2-2+O4,4,1),"---")</f>
        <v>15-50</v>
      </c>
      <c r="Q4" s="93" t="str">
        <f ca="1">IF(O4&lt;=$N$4,OFFSET(DyTr_New,$P$2-2+O4,2,1),"---")</f>
        <v>ПРЭМ-15</v>
      </c>
      <c r="R4" s="93">
        <f t="shared" ref="R4:R13" ca="1" si="0">IF(O4&lt;=$N$4,OFFSET(DyTr_New,$P$2-2+O4,5,1),"---")</f>
        <v>15</v>
      </c>
      <c r="S4" s="93" t="str">
        <f t="shared" ref="S4:S13" ca="1" si="1">IF(O4&lt;=$N$4,OFFSET(DyTr_New,$P$2-2+O4,6,1),"---")</f>
        <v>30,14</v>
      </c>
      <c r="T4" s="93">
        <f t="shared" ref="T4:T13" ca="1" si="2">IF(O4&lt;=$N$4,($M$7/3.6)/((PI()*R4^2)/4000),"---")</f>
        <v>18.436503722511404</v>
      </c>
      <c r="U4" s="289">
        <f t="shared" ref="U4:U13" ca="1" si="3">IF(O4&lt;=$N$4,(T4*R4/$M$9/1000),"---")</f>
        <v>1211561.8334956304</v>
      </c>
      <c r="V4" s="289">
        <f t="shared" ref="V4:V13" ca="1" si="4">IF(O4&lt;=$N$4,(1/(1.14+2*LOG((R4/$M$4),10))^2),"---")</f>
        <v>5.9655827422120798E-2</v>
      </c>
      <c r="W4" s="93">
        <f t="shared" ref="W4:W13" ca="1" si="5">IF(O4&lt;=$N$4,(IF(S4=0,0,(V4/(8*SIN(RADIANS(S4/2))))*(1-(R4/$M$6)^4))),"---")</f>
        <v>2.8448487298016373E-2</v>
      </c>
      <c r="X4" s="93">
        <f t="shared" ref="X4:X13" ca="1" si="6">IF(O4&lt;=$N$4,(3.2*TAN(RADIANS(S4/2))^1.25*(1-(R4/$M$6)^2)^2),"---")</f>
        <v>0.51397936922726728</v>
      </c>
      <c r="Y4" s="93">
        <f t="shared" ref="Y4:Y13" ca="1" si="7">IF(O4&lt;=$N$4,(IF(S4=0,0,V4/(8*SIN(RADIANS(S4/2)))*(1-(R4/$M$6)^4))),"---")</f>
        <v>2.8448487298016373E-2</v>
      </c>
      <c r="Z4" s="290">
        <f t="shared" ref="Z4:Z13" ca="1" si="8">IF(O4&lt;=$N$4,VLOOKUP(Q4&amp;"-Сэндвич",TypePFlow,3,FALSE),"---")</f>
        <v>0</v>
      </c>
      <c r="AA4" s="290">
        <f t="shared" ref="AA4:AA13" ca="1" si="9">IF(O4&lt;=$N$4,VLOOKUP(Q4&amp;"-Фланец",TypePFlow,3,FALSE),"---")</f>
        <v>0</v>
      </c>
      <c r="AB4" s="93">
        <f t="shared" ref="AB4:AB13" ca="1" si="10">IF(O4&lt;=$N$4,(V4*4+W4+X4+Y4)*T4^2/(2*9.81),"--")</f>
        <v>14.024093384073669</v>
      </c>
      <c r="AC4" s="291">
        <f ca="1">IF(O4&lt;=$N$4,(Z4*$M$7^2),"--")</f>
        <v>0</v>
      </c>
      <c r="AD4" s="93">
        <f t="shared" ref="AD4:AD13" ca="1" si="11">IF(O4&lt;=$N$4,(AA4*$M$7^2),"--")</f>
        <v>0</v>
      </c>
      <c r="AE4" s="93">
        <f ca="1">IF(O4&lt;=$N$4,(AB4+AC4),"---")</f>
        <v>14.024093384073669</v>
      </c>
      <c r="AF4" s="93">
        <f t="shared" ref="AF4:AF13" ca="1" si="12">IF(O4&lt;=$N$4,(AB4+AD4),"---")</f>
        <v>14.024093384073669</v>
      </c>
      <c r="AG4" s="292">
        <f t="shared" ref="AG4:AG13" ca="1" si="13">IF(O4&lt;=$N$4,VLOOKUP(Q4&amp;"-D",ParamPiterflow,2,FALSE),"---")</f>
        <v>0.04</v>
      </c>
      <c r="AH4" s="292">
        <f t="shared" ref="AH4:AH13" ca="1" si="14">IF(O4&lt;=$N$4,VLOOKUP(Q4&amp;"-C1",ParamPiterflow,2,FALSE),"---")</f>
        <v>2.4E-2</v>
      </c>
      <c r="AI4" s="292">
        <f t="shared" ref="AI4:AI13" ca="1" si="15">IF(O4&lt;=$N$4,VLOOKUP(Q4&amp;"-B1",ParamPiterflow,2,FALSE),"---")</f>
        <v>1.2999999999999999E-2</v>
      </c>
      <c r="AJ4" s="292">
        <f t="shared" ref="AJ4:AJ13" ca="1" si="16">IF(O4&lt;=$N$4,VLOOKUP(Q4&amp;"-D",ParamPiterflow,4,FALSE),"---")</f>
        <v>6</v>
      </c>
      <c r="AK4" s="293" t="b">
        <f t="shared" ref="AK4:AK13" ca="1" si="17">IF($O4&lt;=$N$4,AND(AG4&lt;$M$8,$AJ4&gt;$M$7),"---")</f>
        <v>0</v>
      </c>
      <c r="AL4" s="293" t="b">
        <f t="shared" ref="AL4:AL13" ca="1" si="18">IF($O4&lt;=$N$4,AND(AH4&lt;$M$8,$AJ4&gt;$M$7),"---")</f>
        <v>0</v>
      </c>
      <c r="AM4" s="293" t="b">
        <f t="shared" ref="AM4:AM13" ca="1" si="19">IF($O4&lt;=$N$4,AND(AI4&lt;$M$8,$AJ4&gt;$M$7),"---")</f>
        <v>0</v>
      </c>
      <c r="AN4" s="294" t="str">
        <f ca="1">IF($O4&lt;=$N$4,IF(AK4,"D",IF(AL4,"C1",IF(AM4,"B1","НЕТ"))),"---")</f>
        <v>НЕТ</v>
      </c>
      <c r="AO4" s="294" t="b">
        <f ca="1">IF($O4&lt;=$N$4,AND(AE4&lt;$M$5,NOT(AN4="НЕТ"),IF($D$25="Экономный",T4&lt;=3,IF(AND($D$25="Оптимальный",T4&gt;$D$50),T4&lt;=1.8,IF(AND($D$25="Затратный",T4&gt;$D$50),T4&lt;=1,T4&lt;=3)))),"---")</f>
        <v>0</v>
      </c>
      <c r="AP4" s="294" t="b">
        <f ca="1">IF($O4&lt;=$N$4,AND(AF4&lt;$M$5,NOT(AN4="НЕТ"),IF($D$25="Экономный",T4&lt;=3,IF(AND($D$25="Оптимальный",T4&gt;$D$50),T4&lt;=1.8,IF(AND($D$25="Затратный",T4&gt;$D$50),T4&lt;=1,T4&lt;=3)))),"---")</f>
        <v>0</v>
      </c>
      <c r="AQ4" s="295"/>
      <c r="AR4" s="296"/>
      <c r="AS4" s="259"/>
      <c r="AT4" s="259">
        <f ca="1">IF(ISERROR(AO2),IF(ISERROR(AP2),"НЕТ",AP2),AO2)</f>
        <v>5</v>
      </c>
      <c r="AW4" s="41"/>
      <c r="AX4" s="41"/>
      <c r="AY4" s="41"/>
      <c r="AZ4" s="41"/>
      <c r="BA4" s="41"/>
      <c r="BC4" s="41"/>
      <c r="BD4" s="41"/>
      <c r="BE4" s="41"/>
      <c r="BF4" s="301"/>
      <c r="BG4" s="301"/>
    </row>
    <row r="5" spans="2:59" ht="18" customHeight="1" x14ac:dyDescent="0.3">
      <c r="B5" s="8"/>
      <c r="C5" s="791"/>
      <c r="D5" s="792"/>
      <c r="E5" s="793"/>
      <c r="F5" s="421"/>
      <c r="G5" s="422"/>
      <c r="I5" s="422"/>
      <c r="K5" s="8"/>
      <c r="L5" s="297" t="s">
        <v>189</v>
      </c>
      <c r="M5" s="298">
        <f>D31</f>
        <v>0.5</v>
      </c>
      <c r="N5" s="88"/>
      <c r="O5" s="88">
        <v>2</v>
      </c>
      <c r="P5" s="93" t="str">
        <f t="shared" ref="P5:P10" ca="1" si="20">IF(O5&lt;=$N$4,OFFSET(DyTr_New,$P$2-2+O5,4,1),"---")</f>
        <v>20-50</v>
      </c>
      <c r="Q5" s="93" t="str">
        <f t="shared" ref="Q5:Q13" ca="1" si="21">IF(O5&lt;=$N$4,OFFSET(DyTr_New,$P$2-2+O5,2,1),"---")</f>
        <v>ПРЭМ-20</v>
      </c>
      <c r="R5" s="93">
        <f t="shared" ca="1" si="0"/>
        <v>20</v>
      </c>
      <c r="S5" s="93" t="str">
        <f t="shared" ca="1" si="1"/>
        <v>46,4</v>
      </c>
      <c r="T5" s="93">
        <f t="shared" ca="1" si="2"/>
        <v>10.370533343912665</v>
      </c>
      <c r="U5" s="289">
        <f t="shared" ca="1" si="3"/>
        <v>908671.37512172316</v>
      </c>
      <c r="V5" s="289">
        <f t="shared" ca="1" si="4"/>
        <v>5.2990299783484442E-2</v>
      </c>
      <c r="W5" s="93">
        <f t="shared" ca="1" si="5"/>
        <v>1.6383680833374978E-2</v>
      </c>
      <c r="X5" s="93">
        <f t="shared" ca="1" si="6"/>
        <v>0.78302287976523621</v>
      </c>
      <c r="Y5" s="93">
        <f t="shared" ca="1" si="7"/>
        <v>1.6383680833374978E-2</v>
      </c>
      <c r="Z5" s="290">
        <f t="shared" ca="1" si="8"/>
        <v>0</v>
      </c>
      <c r="AA5" s="290">
        <f t="shared" ca="1" si="9"/>
        <v>0</v>
      </c>
      <c r="AB5" s="93">
        <f t="shared" ca="1" si="10"/>
        <v>5.6336683337469848</v>
      </c>
      <c r="AC5" s="291">
        <f t="shared" ref="AC5:AC13" ca="1" si="22">IF(O5&lt;=$N$4,(Z5*$M$7^2),"--")</f>
        <v>0</v>
      </c>
      <c r="AD5" s="93">
        <f t="shared" ca="1" si="11"/>
        <v>0</v>
      </c>
      <c r="AE5" s="93">
        <f t="shared" ref="AE5:AE13" ca="1" si="23">IF(O5&lt;=$N$4,(AB5+AC5),"---")</f>
        <v>5.6336683337469848</v>
      </c>
      <c r="AF5" s="93">
        <f t="shared" ca="1" si="12"/>
        <v>5.6336683337469848</v>
      </c>
      <c r="AG5" s="292">
        <f t="shared" ca="1" si="13"/>
        <v>0.08</v>
      </c>
      <c r="AH5" s="292">
        <f t="shared" ca="1" si="14"/>
        <v>4.8000000000000001E-2</v>
      </c>
      <c r="AI5" s="292">
        <f t="shared" ca="1" si="15"/>
        <v>2.7E-2</v>
      </c>
      <c r="AJ5" s="292">
        <f t="shared" ca="1" si="16"/>
        <v>12</v>
      </c>
      <c r="AK5" s="293" t="b">
        <f t="shared" ca="1" si="17"/>
        <v>1</v>
      </c>
      <c r="AL5" s="293" t="b">
        <f t="shared" ca="1" si="18"/>
        <v>1</v>
      </c>
      <c r="AM5" s="293" t="b">
        <f t="shared" ca="1" si="19"/>
        <v>1</v>
      </c>
      <c r="AN5" s="294" t="str">
        <f t="shared" ref="AN5:AN13" ca="1" si="24">IF($O5&lt;=$N$4,IF(AK5,"D",IF(AL5,"C1",IF(AM5,"B1","НЕТ"))),"---")</f>
        <v>D</v>
      </c>
      <c r="AO5" s="294" t="b">
        <f t="shared" ref="AO5:AO13" ca="1" si="25">IF($O5&lt;=$N$4,AND(AE5&lt;$M$5,NOT(AN5="НЕТ"),IF($D$25="Экономный",T5&lt;=3,IF(AND($D$25="Оптимальный",T5&gt;$D$50),T5&lt;=1.8,IF(AND($D$25="Затратный",T5&gt;$D$50),T5&lt;=1,T5&lt;=3)))),"---")</f>
        <v>0</v>
      </c>
      <c r="AP5" s="294" t="b">
        <f t="shared" ref="AP5:AP13" ca="1" si="26">IF($O5&lt;=$N$4,AND(AF5&lt;$M$5,NOT(AN5="НЕТ"),IF($D$25="Экономный",T5&lt;=3,IF(AND($D$25="Оптимальный",T5&gt;$D$50),T5&lt;=1.8,IF(AND($D$25="Затратный",T5&gt;$D$50),T5&lt;=1,T5&lt;=3)))),"---")</f>
        <v>0</v>
      </c>
      <c r="AQ5" s="299" t="s">
        <v>18</v>
      </c>
      <c r="AR5" s="300">
        <f ca="1">OFFSET(T4,IF(ISERROR(AO2),IF(ISERROR(AP2),"НЕТ",AP2),AO2)-1,0,1)</f>
        <v>2.5926333359781664</v>
      </c>
      <c r="AS5" s="259"/>
      <c r="AT5" s="259"/>
      <c r="AU5" s="345"/>
      <c r="AW5" s="41"/>
      <c r="AX5" s="41"/>
      <c r="AY5" s="41"/>
      <c r="AZ5" s="41"/>
      <c r="BA5" s="41"/>
      <c r="BC5" s="41"/>
      <c r="BD5" s="41"/>
      <c r="BE5" s="41"/>
      <c r="BF5" s="301"/>
      <c r="BG5" s="301"/>
    </row>
    <row r="6" spans="2:59" ht="18" customHeight="1" x14ac:dyDescent="0.4">
      <c r="B6" s="274"/>
      <c r="C6" s="794"/>
      <c r="D6" s="795"/>
      <c r="E6" s="796"/>
      <c r="F6" s="423"/>
      <c r="G6" s="274"/>
      <c r="I6" s="274"/>
      <c r="K6" s="8"/>
      <c r="L6" s="302" t="s">
        <v>410</v>
      </c>
      <c r="M6" s="303">
        <f>$D$32</f>
        <v>50</v>
      </c>
      <c r="N6" s="88"/>
      <c r="O6" s="88">
        <v>3</v>
      </c>
      <c r="P6" s="93" t="str">
        <f t="shared" ca="1" si="20"/>
        <v>25-50</v>
      </c>
      <c r="Q6" s="93" t="str">
        <f t="shared" ca="1" si="21"/>
        <v>ПРЭМ-25</v>
      </c>
      <c r="R6" s="93">
        <f t="shared" ca="1" si="0"/>
        <v>25</v>
      </c>
      <c r="S6" s="93" t="str">
        <f t="shared" ca="1" si="1"/>
        <v>39,3</v>
      </c>
      <c r="T6" s="93">
        <f t="shared" ca="1" si="2"/>
        <v>6.6371413401041055</v>
      </c>
      <c r="U6" s="289">
        <f t="shared" ca="1" si="3"/>
        <v>726937.10009737848</v>
      </c>
      <c r="V6" s="289">
        <f t="shared" ca="1" si="4"/>
        <v>4.8560427292756572E-2</v>
      </c>
      <c r="W6" s="93">
        <f t="shared" ca="1" si="5"/>
        <v>1.6922755912707779E-2</v>
      </c>
      <c r="X6" s="93">
        <f t="shared" ca="1" si="6"/>
        <v>0.49683315067415684</v>
      </c>
      <c r="Y6" s="93">
        <f t="shared" ca="1" si="7"/>
        <v>1.6922755912707779E-2</v>
      </c>
      <c r="Z6" s="290">
        <f t="shared" ca="1" si="8"/>
        <v>0</v>
      </c>
      <c r="AA6" s="290">
        <f t="shared" ca="1" si="9"/>
        <v>0</v>
      </c>
      <c r="AB6" s="93">
        <f t="shared" ca="1" si="10"/>
        <v>1.6276215590348659</v>
      </c>
      <c r="AC6" s="291">
        <f t="shared" ca="1" si="22"/>
        <v>0</v>
      </c>
      <c r="AD6" s="93">
        <f t="shared" ca="1" si="11"/>
        <v>0</v>
      </c>
      <c r="AE6" s="93">
        <f t="shared" ca="1" si="23"/>
        <v>1.6276215590348659</v>
      </c>
      <c r="AF6" s="93">
        <f t="shared" ca="1" si="12"/>
        <v>1.6276215590348659</v>
      </c>
      <c r="AG6" s="292">
        <f t="shared" ca="1" si="13"/>
        <v>0.12</v>
      </c>
      <c r="AH6" s="292">
        <f t="shared" ca="1" si="14"/>
        <v>7.1999999999999995E-2</v>
      </c>
      <c r="AI6" s="292">
        <f t="shared" ca="1" si="15"/>
        <v>0.04</v>
      </c>
      <c r="AJ6" s="292">
        <f t="shared" ca="1" si="16"/>
        <v>18</v>
      </c>
      <c r="AK6" s="293" t="b">
        <f t="shared" ca="1" si="17"/>
        <v>1</v>
      </c>
      <c r="AL6" s="293" t="b">
        <f t="shared" ca="1" si="18"/>
        <v>1</v>
      </c>
      <c r="AM6" s="293" t="b">
        <f t="shared" ca="1" si="19"/>
        <v>1</v>
      </c>
      <c r="AN6" s="294" t="str">
        <f t="shared" ca="1" si="24"/>
        <v>D</v>
      </c>
      <c r="AO6" s="294" t="b">
        <f t="shared" ca="1" si="25"/>
        <v>0</v>
      </c>
      <c r="AP6" s="294" t="b">
        <f t="shared" ca="1" si="26"/>
        <v>0</v>
      </c>
      <c r="AQ6" s="65" t="s">
        <v>22</v>
      </c>
      <c r="AR6" s="300">
        <f ca="1">IF(ISERROR(AO2),IF(ISERROR(AP2),"НЕТ",OFFSET(AF4,AP2-1,0,1)),OFFSET(AE4,AO2-1,0,1))</f>
        <v>8.4778400535090087E-2</v>
      </c>
      <c r="AS6" s="304"/>
      <c r="AT6" s="6">
        <f ca="1">IF(ISERROR(AO2),IF(ISERROR(AP2),"НЕТ",OFFSET(AF4,AP2-1,0,1)),OFFSET(AE4,AO2-1,0,1))</f>
        <v>8.4778400535090087E-2</v>
      </c>
      <c r="AU6" s="345"/>
      <c r="AV6" s="369"/>
      <c r="AW6" s="369"/>
      <c r="AX6" s="41"/>
      <c r="AY6" s="41"/>
      <c r="AZ6" s="41"/>
      <c r="BA6" s="41"/>
      <c r="BB6" s="41"/>
      <c r="BC6" s="41"/>
      <c r="BD6" s="41"/>
      <c r="BE6" s="41"/>
      <c r="BF6" s="301"/>
      <c r="BG6" s="301"/>
    </row>
    <row r="7" spans="2:59" ht="18" customHeight="1" x14ac:dyDescent="0.4">
      <c r="K7" s="8"/>
      <c r="L7" s="305" t="s">
        <v>71</v>
      </c>
      <c r="M7" s="306">
        <f>D47</f>
        <v>11.728796892135847</v>
      </c>
      <c r="N7" s="88"/>
      <c r="O7" s="88">
        <v>4</v>
      </c>
      <c r="P7" s="93" t="str">
        <f t="shared" ca="1" si="20"/>
        <v>32-50</v>
      </c>
      <c r="Q7" s="93" t="str">
        <f t="shared" ca="1" si="21"/>
        <v>ПРЭМ-32</v>
      </c>
      <c r="R7" s="93">
        <f t="shared" ca="1" si="0"/>
        <v>32</v>
      </c>
      <c r="S7" s="93" t="str">
        <f t="shared" ca="1" si="1"/>
        <v>28,84</v>
      </c>
      <c r="T7" s="93">
        <f t="shared" ca="1" si="2"/>
        <v>4.0509895874658843</v>
      </c>
      <c r="U7" s="289">
        <f t="shared" ca="1" si="3"/>
        <v>567919.60945107683</v>
      </c>
      <c r="V7" s="289">
        <f t="shared" ca="1" si="4"/>
        <v>4.4277322004702871E-2</v>
      </c>
      <c r="W7" s="93">
        <f t="shared" ca="1" si="5"/>
        <v>1.8496325863946641E-2</v>
      </c>
      <c r="X7" s="93">
        <f t="shared" ca="1" si="6"/>
        <v>0.20423510163470199</v>
      </c>
      <c r="Y7" s="93">
        <f t="shared" ca="1" si="7"/>
        <v>1.8496325863946641E-2</v>
      </c>
      <c r="Z7" s="290">
        <f t="shared" ca="1" si="8"/>
        <v>0</v>
      </c>
      <c r="AA7" s="290">
        <f t="shared" ca="1" si="9"/>
        <v>0</v>
      </c>
      <c r="AB7" s="93">
        <f t="shared" ca="1" si="10"/>
        <v>0.34990453505502656</v>
      </c>
      <c r="AC7" s="291">
        <f t="shared" ca="1" si="22"/>
        <v>0</v>
      </c>
      <c r="AD7" s="93">
        <f t="shared" ca="1" si="11"/>
        <v>0</v>
      </c>
      <c r="AE7" s="93">
        <f t="shared" ca="1" si="23"/>
        <v>0.34990453505502656</v>
      </c>
      <c r="AF7" s="93">
        <f t="shared" ca="1" si="12"/>
        <v>0.34990453505502656</v>
      </c>
      <c r="AG7" s="292">
        <f t="shared" ca="1" si="13"/>
        <v>0.2</v>
      </c>
      <c r="AH7" s="292">
        <f t="shared" ca="1" si="14"/>
        <v>0.12</v>
      </c>
      <c r="AI7" s="292">
        <f t="shared" ca="1" si="15"/>
        <v>6.7000000000000004E-2</v>
      </c>
      <c r="AJ7" s="292">
        <f t="shared" ca="1" si="16"/>
        <v>30</v>
      </c>
      <c r="AK7" s="293" t="b">
        <f t="shared" ca="1" si="17"/>
        <v>1</v>
      </c>
      <c r="AL7" s="293" t="b">
        <f t="shared" ca="1" si="18"/>
        <v>1</v>
      </c>
      <c r="AM7" s="293" t="b">
        <f t="shared" ca="1" si="19"/>
        <v>1</v>
      </c>
      <c r="AN7" s="294" t="str">
        <f t="shared" ca="1" si="24"/>
        <v>D</v>
      </c>
      <c r="AO7" s="294" t="b">
        <f t="shared" ca="1" si="25"/>
        <v>0</v>
      </c>
      <c r="AP7" s="294" t="b">
        <f t="shared" ca="1" si="26"/>
        <v>0</v>
      </c>
      <c r="AQ7" s="307"/>
      <c r="AR7" s="308"/>
      <c r="AS7" s="309"/>
      <c r="AT7" s="310"/>
      <c r="AU7" s="41"/>
      <c r="AV7" s="335"/>
      <c r="AW7" s="335"/>
      <c r="AX7" s="41"/>
      <c r="AY7" s="41"/>
      <c r="AZ7" s="41"/>
      <c r="BA7" s="41"/>
      <c r="BB7" s="41"/>
      <c r="BC7" s="41"/>
      <c r="BD7" s="41"/>
      <c r="BE7" s="41"/>
      <c r="BF7" s="301"/>
      <c r="BG7" s="301"/>
    </row>
    <row r="8" spans="2:59" ht="18" customHeight="1" x14ac:dyDescent="0.3">
      <c r="K8" s="8"/>
      <c r="L8" s="305" t="s">
        <v>72</v>
      </c>
      <c r="M8" s="306">
        <f>D48</f>
        <v>5.8643984460679235</v>
      </c>
      <c r="N8" s="88"/>
      <c r="O8" s="88">
        <v>5</v>
      </c>
      <c r="P8" s="93" t="str">
        <f t="shared" ca="1" si="20"/>
        <v>40-50</v>
      </c>
      <c r="Q8" s="93" t="str">
        <f t="shared" ca="1" si="21"/>
        <v>ПРЭМ-40</v>
      </c>
      <c r="R8" s="93">
        <f t="shared" ca="1" si="0"/>
        <v>40</v>
      </c>
      <c r="S8" s="93" t="str">
        <f t="shared" ca="1" si="1"/>
        <v>11,42</v>
      </c>
      <c r="T8" s="93">
        <f t="shared" ca="1" si="2"/>
        <v>2.5926333359781664</v>
      </c>
      <c r="U8" s="289">
        <f t="shared" ca="1" si="3"/>
        <v>454335.68756086158</v>
      </c>
      <c r="V8" s="289">
        <f t="shared" ca="1" si="4"/>
        <v>4.0875226338606262E-2</v>
      </c>
      <c r="W8" s="93">
        <f t="shared" ca="1" si="5"/>
        <v>3.0319510161434582E-2</v>
      </c>
      <c r="X8" s="93">
        <f t="shared" ca="1" si="6"/>
        <v>2.3318371452135389E-2</v>
      </c>
      <c r="Y8" s="93">
        <f t="shared" ca="1" si="7"/>
        <v>3.0319510161434582E-2</v>
      </c>
      <c r="Z8" s="290">
        <f t="shared" ca="1" si="8"/>
        <v>0</v>
      </c>
      <c r="AA8" s="290">
        <f t="shared" ca="1" si="9"/>
        <v>0</v>
      </c>
      <c r="AB8" s="93">
        <f t="shared" ca="1" si="10"/>
        <v>8.4778400535090087E-2</v>
      </c>
      <c r="AC8" s="291">
        <f t="shared" ca="1" si="22"/>
        <v>0</v>
      </c>
      <c r="AD8" s="93">
        <f t="shared" ca="1" si="11"/>
        <v>0</v>
      </c>
      <c r="AE8" s="93">
        <f t="shared" ca="1" si="23"/>
        <v>8.4778400535090087E-2</v>
      </c>
      <c r="AF8" s="93">
        <f t="shared" ca="1" si="12"/>
        <v>8.4778400535090087E-2</v>
      </c>
      <c r="AG8" s="292">
        <f t="shared" ca="1" si="13"/>
        <v>0.3</v>
      </c>
      <c r="AH8" s="292">
        <f t="shared" ca="1" si="14"/>
        <v>0.18</v>
      </c>
      <c r="AI8" s="292">
        <f t="shared" ca="1" si="15"/>
        <v>0.1</v>
      </c>
      <c r="AJ8" s="292">
        <f t="shared" ca="1" si="16"/>
        <v>45</v>
      </c>
      <c r="AK8" s="293" t="b">
        <f t="shared" ca="1" si="17"/>
        <v>1</v>
      </c>
      <c r="AL8" s="293" t="b">
        <f t="shared" ca="1" si="18"/>
        <v>1</v>
      </c>
      <c r="AM8" s="293" t="b">
        <f t="shared" ca="1" si="19"/>
        <v>1</v>
      </c>
      <c r="AN8" s="294" t="str">
        <f t="shared" ca="1" si="24"/>
        <v>D</v>
      </c>
      <c r="AO8" s="294" t="b">
        <f t="shared" ca="1" si="25"/>
        <v>1</v>
      </c>
      <c r="AP8" s="294" t="b">
        <f t="shared" ca="1" si="26"/>
        <v>1</v>
      </c>
      <c r="AQ8" s="311"/>
      <c r="AR8" s="312"/>
      <c r="AS8" s="313"/>
      <c r="AT8" s="314"/>
      <c r="AU8" s="41"/>
      <c r="AV8" s="314"/>
      <c r="AW8" s="314"/>
      <c r="AX8" s="41"/>
      <c r="AY8" s="41"/>
      <c r="AZ8" s="41"/>
      <c r="BA8" s="41"/>
      <c r="BB8" s="41"/>
      <c r="BC8" s="41"/>
      <c r="BD8" s="41"/>
      <c r="BE8" s="41"/>
      <c r="BF8" s="301"/>
      <c r="BG8" s="301"/>
    </row>
    <row r="9" spans="2:59" ht="18" customHeight="1" x14ac:dyDescent="0.35">
      <c r="K9" s="8"/>
      <c r="L9" s="305" t="s">
        <v>73</v>
      </c>
      <c r="M9" s="315">
        <f>D60</f>
        <v>2.2825707132071719E-7</v>
      </c>
      <c r="N9" s="88"/>
      <c r="O9" s="88">
        <v>6</v>
      </c>
      <c r="P9" s="93" t="str">
        <f t="shared" ca="1" si="20"/>
        <v>50-50</v>
      </c>
      <c r="Q9" s="93" t="str">
        <f t="shared" ca="1" si="21"/>
        <v>ПРЭМ-50</v>
      </c>
      <c r="R9" s="93">
        <f t="shared" ca="1" si="0"/>
        <v>50</v>
      </c>
      <c r="S9" s="93">
        <f t="shared" ca="1" si="1"/>
        <v>0</v>
      </c>
      <c r="T9" s="93">
        <f t="shared" ca="1" si="2"/>
        <v>1.6592853350260264</v>
      </c>
      <c r="U9" s="289">
        <f t="shared" ca="1" si="3"/>
        <v>363468.55004868924</v>
      </c>
      <c r="V9" s="289">
        <f t="shared" ca="1" si="4"/>
        <v>3.7850686611455138E-2</v>
      </c>
      <c r="W9" s="93">
        <f t="shared" ca="1" si="5"/>
        <v>0</v>
      </c>
      <c r="X9" s="93">
        <f t="shared" ca="1" si="6"/>
        <v>0</v>
      </c>
      <c r="Y9" s="93">
        <f t="shared" ca="1" si="7"/>
        <v>0</v>
      </c>
      <c r="Z9" s="290">
        <f t="shared" ca="1" si="8"/>
        <v>0</v>
      </c>
      <c r="AA9" s="290">
        <f t="shared" ca="1" si="9"/>
        <v>0</v>
      </c>
      <c r="AB9" s="93">
        <f t="shared" ca="1" si="10"/>
        <v>2.1245986442311817E-2</v>
      </c>
      <c r="AC9" s="291">
        <f t="shared" ca="1" si="22"/>
        <v>0</v>
      </c>
      <c r="AD9" s="93">
        <f t="shared" ca="1" si="11"/>
        <v>0</v>
      </c>
      <c r="AE9" s="93">
        <f t="shared" ca="1" si="23"/>
        <v>2.1245986442311817E-2</v>
      </c>
      <c r="AF9" s="93">
        <f t="shared" ca="1" si="12"/>
        <v>2.1245986442311817E-2</v>
      </c>
      <c r="AG9" s="292">
        <f t="shared" ca="1" si="13"/>
        <v>0.48</v>
      </c>
      <c r="AH9" s="292">
        <f t="shared" ca="1" si="14"/>
        <v>0.28799999999999998</v>
      </c>
      <c r="AI9" s="292">
        <f t="shared" ca="1" si="15"/>
        <v>0.16</v>
      </c>
      <c r="AJ9" s="292">
        <f t="shared" ca="1" si="16"/>
        <v>72</v>
      </c>
      <c r="AK9" s="293" t="b">
        <f t="shared" ca="1" si="17"/>
        <v>1</v>
      </c>
      <c r="AL9" s="293" t="b">
        <f t="shared" ca="1" si="18"/>
        <v>1</v>
      </c>
      <c r="AM9" s="293" t="b">
        <f t="shared" ca="1" si="19"/>
        <v>1</v>
      </c>
      <c r="AN9" s="294" t="str">
        <f t="shared" ca="1" si="24"/>
        <v>D</v>
      </c>
      <c r="AO9" s="294" t="b">
        <f t="shared" ca="1" si="25"/>
        <v>1</v>
      </c>
      <c r="AP9" s="294" t="b">
        <f t="shared" ca="1" si="26"/>
        <v>1</v>
      </c>
      <c r="AQ9" s="91"/>
      <c r="AS9" s="316"/>
      <c r="AT9" s="317"/>
      <c r="AU9" s="41"/>
      <c r="AV9" s="316"/>
      <c r="AW9" s="338"/>
      <c r="AX9" s="41"/>
      <c r="AY9" s="41"/>
      <c r="AZ9" s="41"/>
      <c r="BA9" s="41"/>
      <c r="BB9" s="41"/>
      <c r="BC9" s="41"/>
      <c r="BD9" s="41"/>
      <c r="BE9" s="41"/>
      <c r="BF9" s="301"/>
      <c r="BG9" s="301"/>
    </row>
    <row r="10" spans="2:59" ht="18" customHeight="1" thickBot="1" x14ac:dyDescent="0.35">
      <c r="L10" s="318" t="s">
        <v>102</v>
      </c>
      <c r="M10" s="319">
        <f>(M7/3.6)/((PI()*M6^2)/4000)</f>
        <v>1.6592853350260264</v>
      </c>
      <c r="O10" s="88">
        <v>7</v>
      </c>
      <c r="P10" s="93" t="str">
        <f t="shared" ca="1" si="20"/>
        <v>---</v>
      </c>
      <c r="Q10" s="93" t="str">
        <f t="shared" ca="1" si="21"/>
        <v>---</v>
      </c>
      <c r="R10" s="93" t="str">
        <f t="shared" ca="1" si="0"/>
        <v>---</v>
      </c>
      <c r="S10" s="93" t="str">
        <f t="shared" ca="1" si="1"/>
        <v>---</v>
      </c>
      <c r="T10" s="93" t="str">
        <f t="shared" ca="1" si="2"/>
        <v>---</v>
      </c>
      <c r="U10" s="289" t="str">
        <f t="shared" ca="1" si="3"/>
        <v>---</v>
      </c>
      <c r="V10" s="289" t="str">
        <f t="shared" ca="1" si="4"/>
        <v>---</v>
      </c>
      <c r="W10" s="93" t="str">
        <f t="shared" ca="1" si="5"/>
        <v>---</v>
      </c>
      <c r="X10" s="93" t="str">
        <f t="shared" ca="1" si="6"/>
        <v>---</v>
      </c>
      <c r="Y10" s="93" t="str">
        <f t="shared" ca="1" si="7"/>
        <v>---</v>
      </c>
      <c r="Z10" s="290" t="str">
        <f t="shared" ca="1" si="8"/>
        <v>---</v>
      </c>
      <c r="AA10" s="290" t="str">
        <f t="shared" ca="1" si="9"/>
        <v>---</v>
      </c>
      <c r="AB10" s="93" t="str">
        <f t="shared" ca="1" si="10"/>
        <v>--</v>
      </c>
      <c r="AC10" s="291" t="str">
        <f t="shared" ca="1" si="22"/>
        <v>--</v>
      </c>
      <c r="AD10" s="93" t="str">
        <f t="shared" ca="1" si="11"/>
        <v>--</v>
      </c>
      <c r="AE10" s="93" t="str">
        <f t="shared" ca="1" si="23"/>
        <v>---</v>
      </c>
      <c r="AF10" s="93" t="str">
        <f t="shared" ca="1" si="12"/>
        <v>---</v>
      </c>
      <c r="AG10" s="292" t="str">
        <f t="shared" ca="1" si="13"/>
        <v>---</v>
      </c>
      <c r="AH10" s="292" t="str">
        <f t="shared" ca="1" si="14"/>
        <v>---</v>
      </c>
      <c r="AI10" s="292" t="str">
        <f t="shared" ca="1" si="15"/>
        <v>---</v>
      </c>
      <c r="AJ10" s="292" t="str">
        <f t="shared" ca="1" si="16"/>
        <v>---</v>
      </c>
      <c r="AK10" s="293" t="str">
        <f t="shared" ca="1" si="17"/>
        <v>---</v>
      </c>
      <c r="AL10" s="293" t="str">
        <f t="shared" ca="1" si="18"/>
        <v>---</v>
      </c>
      <c r="AM10" s="293" t="str">
        <f t="shared" ca="1" si="19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  <c r="AU10" s="41"/>
      <c r="AV10" s="9"/>
      <c r="AW10" s="9"/>
      <c r="AX10" s="41"/>
      <c r="AY10" s="41"/>
      <c r="AZ10" s="41"/>
      <c r="BA10" s="41"/>
      <c r="BB10" s="41"/>
      <c r="BC10" s="41"/>
      <c r="BD10" s="41"/>
      <c r="BE10" s="41"/>
      <c r="BF10" s="301"/>
      <c r="BG10" s="301"/>
    </row>
    <row r="11" spans="2:59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21"/>
        <v>---</v>
      </c>
      <c r="R11" s="93" t="str">
        <f t="shared" ca="1" si="0"/>
        <v>---</v>
      </c>
      <c r="S11" s="93" t="str">
        <f t="shared" ca="1" si="1"/>
        <v>---</v>
      </c>
      <c r="T11" s="93" t="str">
        <f t="shared" ca="1" si="2"/>
        <v>---</v>
      </c>
      <c r="U11" s="289" t="str">
        <f t="shared" ca="1" si="3"/>
        <v>---</v>
      </c>
      <c r="V11" s="289" t="str">
        <f t="shared" ca="1" si="4"/>
        <v>---</v>
      </c>
      <c r="W11" s="93" t="str">
        <f t="shared" ca="1" si="5"/>
        <v>---</v>
      </c>
      <c r="X11" s="93" t="str">
        <f t="shared" ca="1" si="6"/>
        <v>---</v>
      </c>
      <c r="Y11" s="93" t="str">
        <f t="shared" ca="1" si="7"/>
        <v>---</v>
      </c>
      <c r="Z11" s="290" t="str">
        <f t="shared" ca="1" si="8"/>
        <v>---</v>
      </c>
      <c r="AA11" s="290" t="str">
        <f t="shared" ca="1" si="9"/>
        <v>---</v>
      </c>
      <c r="AB11" s="93" t="str">
        <f ca="1">IF(O11&lt;=$N$4,(V11*4+W11+X11+Y11)*T11^2/(2*9.81),"--")</f>
        <v>--</v>
      </c>
      <c r="AC11" s="291" t="str">
        <f t="shared" ca="1" si="22"/>
        <v>--</v>
      </c>
      <c r="AD11" s="93" t="str">
        <f t="shared" ca="1" si="11"/>
        <v>--</v>
      </c>
      <c r="AE11" s="93" t="str">
        <f t="shared" ca="1" si="23"/>
        <v>---</v>
      </c>
      <c r="AF11" s="93" t="str">
        <f t="shared" ca="1" si="12"/>
        <v>---</v>
      </c>
      <c r="AG11" s="292" t="str">
        <f t="shared" ca="1" si="13"/>
        <v>---</v>
      </c>
      <c r="AH11" s="292" t="str">
        <f t="shared" ca="1" si="14"/>
        <v>---</v>
      </c>
      <c r="AI11" s="292" t="str">
        <f t="shared" ca="1" si="15"/>
        <v>---</v>
      </c>
      <c r="AJ11" s="292" t="str">
        <f t="shared" ca="1" si="16"/>
        <v>---</v>
      </c>
      <c r="AK11" s="293" t="str">
        <f t="shared" ca="1" si="17"/>
        <v>---</v>
      </c>
      <c r="AL11" s="293" t="str">
        <f t="shared" ca="1" si="18"/>
        <v>---</v>
      </c>
      <c r="AM11" s="293" t="str">
        <f t="shared" ca="1" si="19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U11" s="41"/>
      <c r="AV11" s="10"/>
      <c r="AW11" s="10"/>
      <c r="AX11" s="41"/>
      <c r="AY11" s="41"/>
      <c r="AZ11" s="41"/>
      <c r="BA11" s="41"/>
      <c r="BB11" s="41"/>
      <c r="BC11" s="41"/>
      <c r="BD11" s="41"/>
      <c r="BE11" s="41"/>
      <c r="BF11" s="301"/>
      <c r="BG11" s="301"/>
    </row>
    <row r="12" spans="2:59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21"/>
        <v>---</v>
      </c>
      <c r="R12" s="93" t="str">
        <f t="shared" ca="1" si="0"/>
        <v>---</v>
      </c>
      <c r="S12" s="93" t="str">
        <f t="shared" ca="1" si="1"/>
        <v>---</v>
      </c>
      <c r="T12" s="93" t="str">
        <f t="shared" ca="1" si="2"/>
        <v>---</v>
      </c>
      <c r="U12" s="289" t="str">
        <f t="shared" ca="1" si="3"/>
        <v>---</v>
      </c>
      <c r="V12" s="289" t="str">
        <f t="shared" ca="1" si="4"/>
        <v>---</v>
      </c>
      <c r="W12" s="93" t="str">
        <f t="shared" ca="1" si="5"/>
        <v>---</v>
      </c>
      <c r="X12" s="93" t="str">
        <f t="shared" ca="1" si="6"/>
        <v>---</v>
      </c>
      <c r="Y12" s="93" t="str">
        <f t="shared" ca="1" si="7"/>
        <v>---</v>
      </c>
      <c r="Z12" s="290" t="str">
        <f t="shared" ca="1" si="8"/>
        <v>---</v>
      </c>
      <c r="AA12" s="290" t="str">
        <f t="shared" ca="1" si="9"/>
        <v>---</v>
      </c>
      <c r="AB12" s="93" t="str">
        <f ca="1">IF(O12&lt;=$N$4,(V12*4+W12+X12+Y12)*T12^2/(2*9.81),"--")</f>
        <v>--</v>
      </c>
      <c r="AC12" s="291" t="str">
        <f t="shared" ca="1" si="22"/>
        <v>--</v>
      </c>
      <c r="AD12" s="93" t="str">
        <f ca="1">IF(O12&lt;=$N$4,(AA12*$M$7^2),"--")</f>
        <v>--</v>
      </c>
      <c r="AE12" s="93" t="str">
        <f t="shared" ca="1" si="23"/>
        <v>---</v>
      </c>
      <c r="AF12" s="93" t="str">
        <f ca="1">IF(O12&lt;=$N$4,(AB12+AD12),"---")</f>
        <v>---</v>
      </c>
      <c r="AG12" s="292" t="str">
        <f t="shared" ca="1" si="13"/>
        <v>---</v>
      </c>
      <c r="AH12" s="292" t="str">
        <f t="shared" ca="1" si="14"/>
        <v>---</v>
      </c>
      <c r="AI12" s="292" t="str">
        <f t="shared" ca="1" si="15"/>
        <v>---</v>
      </c>
      <c r="AJ12" s="292" t="str">
        <f t="shared" ca="1" si="16"/>
        <v>---</v>
      </c>
      <c r="AK12" s="293" t="str">
        <f t="shared" ca="1" si="17"/>
        <v>---</v>
      </c>
      <c r="AL12" s="293" t="str">
        <f t="shared" ca="1" si="18"/>
        <v>---</v>
      </c>
      <c r="AM12" s="293" t="str">
        <f t="shared" ca="1" si="19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U12" s="41"/>
      <c r="AV12" s="10"/>
      <c r="AW12" s="10"/>
      <c r="AX12" s="41"/>
      <c r="AY12" s="41"/>
      <c r="AZ12" s="41"/>
      <c r="BA12" s="41"/>
      <c r="BB12" s="41"/>
      <c r="BC12" s="41"/>
      <c r="BD12" s="41"/>
      <c r="BE12" s="41"/>
      <c r="BF12" s="301"/>
      <c r="BG12" s="301"/>
    </row>
    <row r="13" spans="2:59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21"/>
        <v>---</v>
      </c>
      <c r="R13" s="93" t="str">
        <f t="shared" ca="1" si="0"/>
        <v>---</v>
      </c>
      <c r="S13" s="93" t="str">
        <f t="shared" ca="1" si="1"/>
        <v>---</v>
      </c>
      <c r="T13" s="93" t="str">
        <f t="shared" ca="1" si="2"/>
        <v>---</v>
      </c>
      <c r="U13" s="289" t="str">
        <f t="shared" ca="1" si="3"/>
        <v>---</v>
      </c>
      <c r="V13" s="289" t="str">
        <f t="shared" ca="1" si="4"/>
        <v>---</v>
      </c>
      <c r="W13" s="93" t="str">
        <f t="shared" ca="1" si="5"/>
        <v>---</v>
      </c>
      <c r="X13" s="93" t="str">
        <f t="shared" ca="1" si="6"/>
        <v>---</v>
      </c>
      <c r="Y13" s="93" t="str">
        <f t="shared" ca="1" si="7"/>
        <v>---</v>
      </c>
      <c r="Z13" s="290" t="str">
        <f t="shared" ca="1" si="8"/>
        <v>---</v>
      </c>
      <c r="AA13" s="290" t="str">
        <f t="shared" ca="1" si="9"/>
        <v>---</v>
      </c>
      <c r="AB13" s="93" t="str">
        <f t="shared" ca="1" si="10"/>
        <v>--</v>
      </c>
      <c r="AC13" s="291" t="str">
        <f t="shared" ca="1" si="22"/>
        <v>--</v>
      </c>
      <c r="AD13" s="93" t="str">
        <f t="shared" ca="1" si="11"/>
        <v>--</v>
      </c>
      <c r="AE13" s="93" t="str">
        <f t="shared" ca="1" si="23"/>
        <v>---</v>
      </c>
      <c r="AF13" s="93" t="str">
        <f t="shared" ca="1" si="12"/>
        <v>---</v>
      </c>
      <c r="AG13" s="292" t="str">
        <f t="shared" ca="1" si="13"/>
        <v>---</v>
      </c>
      <c r="AH13" s="292" t="str">
        <f t="shared" ca="1" si="14"/>
        <v>---</v>
      </c>
      <c r="AI13" s="292" t="str">
        <f t="shared" ca="1" si="15"/>
        <v>---</v>
      </c>
      <c r="AJ13" s="292" t="str">
        <f t="shared" ca="1" si="16"/>
        <v>---</v>
      </c>
      <c r="AK13" s="293" t="str">
        <f t="shared" ca="1" si="17"/>
        <v>---</v>
      </c>
      <c r="AL13" s="293" t="str">
        <f t="shared" ca="1" si="18"/>
        <v>---</v>
      </c>
      <c r="AM13" s="293" t="str">
        <f t="shared" ca="1" si="19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U13" s="41"/>
      <c r="AV13" s="10"/>
      <c r="AW13" s="10"/>
      <c r="AX13" s="41"/>
      <c r="AY13" s="41"/>
      <c r="AZ13" s="41"/>
      <c r="BA13" s="41"/>
      <c r="BB13" s="41"/>
      <c r="BC13" s="41"/>
      <c r="BD13" s="41"/>
      <c r="BE13" s="41"/>
      <c r="BF13" s="301"/>
      <c r="BG13" s="301"/>
    </row>
    <row r="14" spans="2:59" ht="18" customHeight="1" thickBot="1" x14ac:dyDescent="0.35">
      <c r="T14" s="321" t="s">
        <v>411</v>
      </c>
      <c r="AS14" s="41"/>
      <c r="AU14" s="41"/>
      <c r="AV14" s="10"/>
      <c r="AW14" s="10"/>
      <c r="AX14" s="41"/>
      <c r="AY14" s="41"/>
      <c r="AZ14" s="41"/>
      <c r="BA14" s="41"/>
      <c r="BB14" s="41"/>
      <c r="BC14" s="41"/>
      <c r="BD14" s="41"/>
      <c r="BE14" s="41"/>
      <c r="BF14" s="301"/>
      <c r="BG14" s="301"/>
    </row>
    <row r="15" spans="2:59" ht="18" customHeight="1" thickBot="1" x14ac:dyDescent="0.35">
      <c r="N15" s="262"/>
      <c r="O15" s="263" t="s">
        <v>406</v>
      </c>
      <c r="P15" s="264">
        <f>MATCH(M19,DyTr_New,0)</f>
        <v>16</v>
      </c>
      <c r="Q15" s="265">
        <f ca="1">MATCH(TRUE,AO17:AO26,0)</f>
        <v>5</v>
      </c>
      <c r="R15" s="266" t="s">
        <v>103</v>
      </c>
      <c r="S15" s="267"/>
      <c r="T15" s="323">
        <f ca="1">IF(M6=M19,Q2,Q15)</f>
        <v>5</v>
      </c>
      <c r="U15" s="268">
        <f ca="1">MATCH(TRUE,AO17:AO26,0)</f>
        <v>5</v>
      </c>
      <c r="V15" s="269" t="s">
        <v>407</v>
      </c>
      <c r="W15" s="270"/>
      <c r="X15" s="270"/>
      <c r="Y15" s="270"/>
      <c r="Z15" s="813" t="s">
        <v>206</v>
      </c>
      <c r="AA15" s="813"/>
      <c r="AB15" s="258"/>
      <c r="AG15" s="828" t="s">
        <v>75</v>
      </c>
      <c r="AH15" s="829"/>
      <c r="AI15" s="830"/>
      <c r="AJ15" s="271" t="s">
        <v>66</v>
      </c>
      <c r="AK15" s="806" t="s">
        <v>65</v>
      </c>
      <c r="AL15" s="807"/>
      <c r="AM15" s="808"/>
      <c r="AN15" s="272"/>
      <c r="AO15" s="273">
        <f ca="1">MATCH(TRUE,AO17:AO26,0)</f>
        <v>5</v>
      </c>
      <c r="AP15" s="273">
        <f ca="1">MATCH(TRUE,AP17:AP26,0)</f>
        <v>5</v>
      </c>
      <c r="AQ15" s="802" t="s">
        <v>69</v>
      </c>
      <c r="AR15" s="803"/>
      <c r="AS15" s="41"/>
      <c r="AU15" s="41"/>
      <c r="AV15" s="10"/>
      <c r="AW15" s="10"/>
      <c r="AX15" s="41"/>
      <c r="AY15" s="41"/>
      <c r="AZ15" s="41"/>
      <c r="BA15" s="41"/>
      <c r="BB15" s="41"/>
      <c r="BC15" s="41"/>
      <c r="BD15" s="41"/>
      <c r="BE15" s="41"/>
      <c r="BF15" s="301"/>
      <c r="BG15" s="301"/>
    </row>
    <row r="16" spans="2:59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ПРЭМ-40-D-Cэндвич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ПРЭМ-40-D</v>
      </c>
      <c r="AU16" s="41"/>
      <c r="AV16" s="10"/>
      <c r="AW16" s="10"/>
      <c r="AX16" s="41"/>
      <c r="AY16" s="41"/>
      <c r="AZ16" s="41"/>
      <c r="BA16" s="41"/>
      <c r="BB16" s="41"/>
      <c r="BC16" s="41"/>
      <c r="BD16" s="41"/>
      <c r="BE16" s="41"/>
      <c r="BF16" s="301"/>
      <c r="BG16" s="301"/>
    </row>
    <row r="17" spans="2:62" ht="18" customHeight="1" x14ac:dyDescent="0.3">
      <c r="L17" s="287" t="s">
        <v>74</v>
      </c>
      <c r="M17" s="288">
        <v>0.5</v>
      </c>
      <c r="N17" s="88">
        <f ca="1">OFFSET(DyTr_New,P15-1,1,1)</f>
        <v>6</v>
      </c>
      <c r="O17" s="88">
        <v>1</v>
      </c>
      <c r="P17" s="93" t="str">
        <f t="shared" ref="P17:P26" ca="1" si="27">IF(O17&lt;=$N$17,OFFSET(DyTr_New,$P$15-2+O17,4,1),"---")</f>
        <v>15-50</v>
      </c>
      <c r="Q17" s="93" t="str">
        <f t="shared" ref="Q17:Q26" ca="1" si="28">IF(O17&lt;=$N$17,OFFSET(DyTr_New,$P$15-2+O17,2,1),"---")</f>
        <v>ПРЭМ-15</v>
      </c>
      <c r="R17" s="93">
        <f t="shared" ref="R17:R26" ca="1" si="29">IF(O17&lt;=$N$17,OFFSET(DyTr_New,$P$15-2+O17,5,1),"---")</f>
        <v>15</v>
      </c>
      <c r="S17" s="93" t="str">
        <f t="shared" ref="S17:S26" ca="1" si="30">IF(O17&lt;=$N$17,OFFSET(DyTr_New,$P$15-2+O17,6,1),"---")</f>
        <v>30,14</v>
      </c>
      <c r="T17" s="93">
        <f ca="1">IF(O17&lt;=$N$17,($M$20/3.6)/((PI()*R17^2)/4000),"---")</f>
        <v>17.859353994582101</v>
      </c>
      <c r="U17" s="289">
        <f ca="1">IF(O17&lt;=$N$17,(T17*R17/$M$22/1000),"---")</f>
        <v>668506.72338652459</v>
      </c>
      <c r="V17" s="289">
        <f ca="1">IF(O17&lt;=$N$17,(1/(1.14+2*LOG((R17/$M$17),10))^2),"---")</f>
        <v>5.9655827422120798E-2</v>
      </c>
      <c r="W17" s="93">
        <f ca="1">IF(O17&lt;=$N$17,(IF(S17=0,0,(V17/(8*SIN(RADIANS(S17/2))))*(1-(R17/$M$19)^4))),"---")</f>
        <v>2.8448487298016373E-2</v>
      </c>
      <c r="X17" s="93">
        <f ca="1">IF(O17&lt;=$N$17,(3.2*TAN(RADIANS(S17/2))^1.25*(1-(R17/$M$19)^2)^2),"---")</f>
        <v>0.51397936922726728</v>
      </c>
      <c r="Y17" s="93">
        <f ca="1">IF(O17&lt;=$N$17,(IF(S17=0,0,V17/(8*SIN(RADIANS(S17/2)))*(1-(R17/$M$19)^4))),"---")</f>
        <v>2.8448487298016373E-2</v>
      </c>
      <c r="Z17" s="290">
        <f t="shared" ref="Z17:Z26" ca="1" si="31">IF(O17&lt;=$N$17,VLOOKUP(Q17&amp;"-Сэндвич",TypePFlow,3,FALSE),"---")</f>
        <v>0</v>
      </c>
      <c r="AA17" s="290">
        <f t="shared" ref="AA17:AA26" ca="1" si="32">IF(O17&lt;=$N$17,VLOOKUP(Q17&amp;"-Фланец",TypePFlow,3,FALSE),"---")</f>
        <v>0</v>
      </c>
      <c r="AB17" s="93">
        <f t="shared" ref="AB17:AB26" ca="1" si="33">IF(O17&lt;=$N$17,(V17*4+W17+X17+Y17)*T17^2/(2*9.81),"--")</f>
        <v>13.159795950909528</v>
      </c>
      <c r="AC17" s="291">
        <f ca="1">IF(O17&lt;=$N$17,(Z17*$M$20^2),"--")</f>
        <v>0</v>
      </c>
      <c r="AD17" s="93">
        <f t="shared" ref="AD17:AD26" ca="1" si="34">IF(O17&lt;=$N$17,(AA17*$M$20^2),"--")</f>
        <v>0</v>
      </c>
      <c r="AE17" s="93">
        <f t="shared" ref="AE17:AE26" ca="1" si="35">IF(O17&lt;=$N$17,(AB17+AC17),"---")</f>
        <v>13.159795950909528</v>
      </c>
      <c r="AF17" s="93">
        <f t="shared" ref="AF17:AF26" ca="1" si="36">IF(O17&lt;=$N$17,(AB17+AD17),"---")</f>
        <v>13.159795950909528</v>
      </c>
      <c r="AG17" s="292">
        <f t="shared" ref="AG17:AG26" ca="1" si="37">IF(O17&lt;=$N$17,VLOOKUP(Q17&amp;"-D",ParamPiterflow,2,FALSE),"---")</f>
        <v>0.04</v>
      </c>
      <c r="AH17" s="292">
        <f t="shared" ref="AH17:AH26" ca="1" si="38">IF(O17&lt;=$N$17,VLOOKUP(Q17&amp;"-C1",ParamPiterflow,2,FALSE),"---")</f>
        <v>2.4E-2</v>
      </c>
      <c r="AI17" s="292">
        <f t="shared" ref="AI17:AI26" ca="1" si="39">IF(O17&lt;=$N$17,VLOOKUP(Q17&amp;"-B1",ParamPiterflow,2,FALSE),"---")</f>
        <v>1.2999999999999999E-2</v>
      </c>
      <c r="AJ17" s="292">
        <f t="shared" ref="AJ17:AJ26" ca="1" si="40">IF(O17&lt;=$N$17,VLOOKUP(Q17&amp;"-D",ParamPiterflow,4,FALSE),"---")</f>
        <v>6</v>
      </c>
      <c r="AK17" s="293" t="b">
        <f t="shared" ref="AK17:AK26" ca="1" si="41">IF($O17&lt;=$N$17,AND(AG17&lt;$M$21,$AJ17&gt;$M$20),"---")</f>
        <v>0</v>
      </c>
      <c r="AL17" s="293" t="b">
        <f t="shared" ref="AL17:AL26" ca="1" si="42">IF($O17&lt;=$N$17,AND(AH17&lt;$M$21,$AJ17&gt;$M$20),"---")</f>
        <v>0</v>
      </c>
      <c r="AM17" s="293" t="b">
        <f t="shared" ref="AM17:AM26" ca="1" si="43">IF($O17&lt;=$N$17,AND(AI17&lt;$M$21,$AJ17&gt;$M$20),"---")</f>
        <v>0</v>
      </c>
      <c r="AN17" s="294" t="str">
        <f ca="1">IF($O17&lt;=$N$17,IF(AK17,"D",IF(AL17,"C1",IF(AM17,"B1","НЕТ"))),"---")</f>
        <v>НЕТ</v>
      </c>
      <c r="AO17" s="294" t="b">
        <f ca="1">IF($O17&lt;=$N$17,AND(AE17&lt;$M$18,NOT(AN17="НЕТ"),IF($D$25="Экономный",T17&lt;=3,IF(AND($D$25="Оптимальный",T17&gt;$E$50),T17&lt;=1.8,IF(AND($D$25="Затратный",T17&gt;$E$50),T17&lt;=1,T17&lt;=3)))),"---")</f>
        <v>0</v>
      </c>
      <c r="AP17" s="294" t="b">
        <f ca="1">IF($O17&lt;=$N$17,AND(AF17&lt;$M$18,NOT(AN17="НЕТ"),IF($D$25="Экономный",T17&lt;=3,IF(AND($D$25="Оптимальный",T17&gt;$E$50),T17&lt;=1.8,IF(AND($D$25="Затратный",T17&gt;$E$50),T17&lt;=1,T17&lt;=3)))),"---")</f>
        <v>0</v>
      </c>
      <c r="AQ17" s="295"/>
      <c r="AR17" s="296"/>
      <c r="AS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301"/>
      <c r="BG17" s="301"/>
    </row>
    <row r="18" spans="2:62" ht="18" customHeight="1" x14ac:dyDescent="0.3">
      <c r="L18" s="297" t="s">
        <v>189</v>
      </c>
      <c r="M18" s="298">
        <f>E31</f>
        <v>0.5</v>
      </c>
      <c r="N18" s="88"/>
      <c r="O18" s="88">
        <v>2</v>
      </c>
      <c r="P18" s="93" t="str">
        <f t="shared" ca="1" si="27"/>
        <v>20-50</v>
      </c>
      <c r="Q18" s="93" t="str">
        <f t="shared" ca="1" si="28"/>
        <v>ПРЭМ-20</v>
      </c>
      <c r="R18" s="93">
        <f t="shared" ca="1" si="29"/>
        <v>20</v>
      </c>
      <c r="S18" s="93" t="str">
        <f t="shared" ca="1" si="30"/>
        <v>46,4</v>
      </c>
      <c r="T18" s="93">
        <f t="shared" ref="T18:T26" ca="1" si="44">IF(O18&lt;=$N$17,($M$20/3.6)/((PI()*R18^2)/4000),"---")</f>
        <v>10.045886621952432</v>
      </c>
      <c r="U18" s="289">
        <f t="shared" ref="U18:U26" ca="1" si="45">IF(O18&lt;=$N$17,(T18*R18/$M$22/1000),"---")</f>
        <v>501380.04253989347</v>
      </c>
      <c r="V18" s="289">
        <f t="shared" ref="V18:V24" ca="1" si="46">IF(O18&lt;=$N$17,(1/(1.14+2*LOG((R18/$M$17),10))^2),"---")</f>
        <v>5.2990299783484442E-2</v>
      </c>
      <c r="W18" s="93">
        <f t="shared" ref="W18:W26" ca="1" si="47">IF(O18&lt;=$N$17,(IF(S18=0,0,(V18/(8*SIN(RADIANS(S18/2))))*(1-(R18/$M$19)^4))),"---")</f>
        <v>1.6383680833374978E-2</v>
      </c>
      <c r="X18" s="93">
        <f t="shared" ref="X18:X26" ca="1" si="48">IF(O18&lt;=$N$17,(3.2*TAN(RADIANS(S18/2))^1.25*(1-(R18/$M$19)^2)^2),"---")</f>
        <v>0.78302287976523621</v>
      </c>
      <c r="Y18" s="93">
        <f t="shared" ref="Y18:Y26" ca="1" si="49">IF(O18&lt;=$N$17,(IF(S18=0,0,V18/(8*SIN(RADIANS(S18/2)))*(1-(R18/$M$19)^4))),"---")</f>
        <v>1.6383680833374978E-2</v>
      </c>
      <c r="Z18" s="290">
        <f t="shared" ca="1" si="31"/>
        <v>0</v>
      </c>
      <c r="AA18" s="290">
        <f t="shared" ca="1" si="32"/>
        <v>0</v>
      </c>
      <c r="AB18" s="93">
        <f t="shared" ca="1" si="33"/>
        <v>5.286468343929088</v>
      </c>
      <c r="AC18" s="291">
        <f t="shared" ref="AC18:AC26" ca="1" si="50">IF(O18&lt;=$N$17,(Z18*$M$20^2),"--")</f>
        <v>0</v>
      </c>
      <c r="AD18" s="93">
        <f t="shared" ca="1" si="34"/>
        <v>0</v>
      </c>
      <c r="AE18" s="93">
        <f t="shared" ca="1" si="35"/>
        <v>5.286468343929088</v>
      </c>
      <c r="AF18" s="93">
        <f t="shared" ca="1" si="36"/>
        <v>5.286468343929088</v>
      </c>
      <c r="AG18" s="292">
        <f t="shared" ca="1" si="37"/>
        <v>0.08</v>
      </c>
      <c r="AH18" s="292">
        <f t="shared" ca="1" si="38"/>
        <v>4.8000000000000001E-2</v>
      </c>
      <c r="AI18" s="292">
        <f t="shared" ca="1" si="39"/>
        <v>2.7E-2</v>
      </c>
      <c r="AJ18" s="292">
        <f t="shared" ca="1" si="40"/>
        <v>12</v>
      </c>
      <c r="AK18" s="293" t="b">
        <f t="shared" ca="1" si="41"/>
        <v>1</v>
      </c>
      <c r="AL18" s="293" t="b">
        <f t="shared" ca="1" si="42"/>
        <v>1</v>
      </c>
      <c r="AM18" s="293" t="b">
        <f t="shared" ca="1" si="43"/>
        <v>1</v>
      </c>
      <c r="AN18" s="294" t="str">
        <f t="shared" ref="AN18:AN26" ca="1" si="51">IF($O18&lt;=$N$17,IF(AK18,"D",IF(AL18,"C1",IF(AM18,"B1","НЕТ"))),"---")</f>
        <v>D</v>
      </c>
      <c r="AO18" s="294" t="b">
        <f t="shared" ref="AO18:AO26" ca="1" si="52">IF($O18&lt;=$N$17,AND(AE18&lt;$M$18,NOT(AN18="НЕТ"),IF($D$25="Экономный",T18&lt;=3,IF(AND($D$25="Оптимальный",T18&gt;$E$50),T18&lt;=1.8,IF(AND($D$25="Затратный",T18&gt;$E$50),T18&lt;=1,T18&lt;=3)))),"---")</f>
        <v>0</v>
      </c>
      <c r="AP18" s="294" t="b">
        <f t="shared" ref="AP18:AP26" ca="1" si="53">IF($O18&lt;=$N$17,AND(AF18&lt;$M$18,NOT(AN18="НЕТ"),IF($D$25="Экономный",T18&lt;=3,IF(AND($D$25="Оптимальный",T18&gt;$E$50),T18&lt;=1.8,IF(AND($D$25="Затратный",T18&gt;$E$50),T18&lt;=1,T18&lt;=3)))),"---")</f>
        <v>0</v>
      </c>
      <c r="AQ18" s="299" t="s">
        <v>18</v>
      </c>
      <c r="AR18" s="300">
        <f ca="1">OFFSET(T17,IF(ISERROR(AO15),IF(ISERROR(AP15),"НЕТ",AP15),AO15)-1,0,1)</f>
        <v>2.511471655488108</v>
      </c>
      <c r="AS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301"/>
      <c r="BG18" s="301"/>
    </row>
    <row r="19" spans="2:62" ht="18" customHeight="1" x14ac:dyDescent="0.3">
      <c r="I19" s="301"/>
      <c r="J19" s="301"/>
      <c r="K19" s="301"/>
      <c r="L19" s="302" t="s">
        <v>410</v>
      </c>
      <c r="M19" s="303">
        <f>$E$32</f>
        <v>50</v>
      </c>
      <c r="N19" s="88"/>
      <c r="O19" s="88">
        <v>3</v>
      </c>
      <c r="P19" s="93" t="str">
        <f t="shared" ca="1" si="27"/>
        <v>25-50</v>
      </c>
      <c r="Q19" s="93" t="str">
        <f t="shared" ca="1" si="28"/>
        <v>ПРЭМ-25</v>
      </c>
      <c r="R19" s="93">
        <f t="shared" ca="1" si="29"/>
        <v>25</v>
      </c>
      <c r="S19" s="93" t="str">
        <f t="shared" ca="1" si="30"/>
        <v>39,3</v>
      </c>
      <c r="T19" s="93">
        <f t="shared" ca="1" si="44"/>
        <v>6.4293674380495567</v>
      </c>
      <c r="U19" s="289">
        <f t="shared" ca="1" si="45"/>
        <v>401104.03403191478</v>
      </c>
      <c r="V19" s="289">
        <f t="shared" ca="1" si="46"/>
        <v>4.8560427292756572E-2</v>
      </c>
      <c r="W19" s="93">
        <f t="shared" ca="1" si="47"/>
        <v>1.6922755912707779E-2</v>
      </c>
      <c r="X19" s="93">
        <f t="shared" ca="1" si="48"/>
        <v>0.49683315067415684</v>
      </c>
      <c r="Y19" s="93">
        <f t="shared" ca="1" si="49"/>
        <v>1.6922755912707779E-2</v>
      </c>
      <c r="Z19" s="290">
        <f t="shared" ca="1" si="31"/>
        <v>0</v>
      </c>
      <c r="AA19" s="290">
        <f t="shared" ca="1" si="32"/>
        <v>0</v>
      </c>
      <c r="AB19" s="93">
        <f t="shared" ca="1" si="33"/>
        <v>1.5273121060734354</v>
      </c>
      <c r="AC19" s="291">
        <f t="shared" ca="1" si="50"/>
        <v>0</v>
      </c>
      <c r="AD19" s="93">
        <f t="shared" ca="1" si="34"/>
        <v>0</v>
      </c>
      <c r="AE19" s="93">
        <f t="shared" ca="1" si="35"/>
        <v>1.5273121060734354</v>
      </c>
      <c r="AF19" s="93">
        <f t="shared" ca="1" si="36"/>
        <v>1.5273121060734354</v>
      </c>
      <c r="AG19" s="292">
        <f t="shared" ca="1" si="37"/>
        <v>0.12</v>
      </c>
      <c r="AH19" s="292">
        <f t="shared" ca="1" si="38"/>
        <v>7.1999999999999995E-2</v>
      </c>
      <c r="AI19" s="292">
        <f t="shared" ca="1" si="39"/>
        <v>0.04</v>
      </c>
      <c r="AJ19" s="292">
        <f t="shared" ca="1" si="40"/>
        <v>18</v>
      </c>
      <c r="AK19" s="293" t="b">
        <f t="shared" ca="1" si="41"/>
        <v>1</v>
      </c>
      <c r="AL19" s="293" t="b">
        <f t="shared" ca="1" si="42"/>
        <v>1</v>
      </c>
      <c r="AM19" s="293" t="b">
        <f t="shared" ca="1" si="43"/>
        <v>1</v>
      </c>
      <c r="AN19" s="294" t="str">
        <f t="shared" ca="1" si="51"/>
        <v>D</v>
      </c>
      <c r="AO19" s="294" t="b">
        <f t="shared" ca="1" si="52"/>
        <v>0</v>
      </c>
      <c r="AP19" s="294" t="b">
        <f t="shared" ca="1" si="53"/>
        <v>0</v>
      </c>
      <c r="AQ19" s="65" t="s">
        <v>22</v>
      </c>
      <c r="AR19" s="300">
        <f ca="1">IF(ISERROR(AO15),IF(ISERROR(AP15),"НЕТ",OFFSET(AF17,AP15-1,0,1)),OFFSET(AE17,AO15-1,0,1))</f>
        <v>7.9553552699047278E-2</v>
      </c>
      <c r="AS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301"/>
      <c r="BG19" s="301"/>
    </row>
    <row r="20" spans="2:62" ht="18" customHeight="1" x14ac:dyDescent="0.3">
      <c r="I20" s="301"/>
      <c r="J20" s="301"/>
      <c r="K20" s="301"/>
      <c r="L20" s="305" t="s">
        <v>71</v>
      </c>
      <c r="M20" s="306">
        <f>E47</f>
        <v>11.361630099715828</v>
      </c>
      <c r="N20" s="88"/>
      <c r="O20" s="88">
        <v>4</v>
      </c>
      <c r="P20" s="93" t="str">
        <f t="shared" ca="1" si="27"/>
        <v>32-50</v>
      </c>
      <c r="Q20" s="93" t="str">
        <f t="shared" ca="1" si="28"/>
        <v>ПРЭМ-32</v>
      </c>
      <c r="R20" s="93">
        <f t="shared" ca="1" si="29"/>
        <v>32</v>
      </c>
      <c r="S20" s="93" t="str">
        <f t="shared" ca="1" si="30"/>
        <v>28,84</v>
      </c>
      <c r="T20" s="93">
        <f t="shared" ca="1" si="44"/>
        <v>3.9241744617001686</v>
      </c>
      <c r="U20" s="289">
        <f t="shared" ca="1" si="45"/>
        <v>313362.52658743341</v>
      </c>
      <c r="V20" s="289">
        <f t="shared" ca="1" si="46"/>
        <v>4.4277322004702871E-2</v>
      </c>
      <c r="W20" s="93">
        <f t="shared" ca="1" si="47"/>
        <v>1.8496325863946641E-2</v>
      </c>
      <c r="X20" s="93">
        <f t="shared" ca="1" si="48"/>
        <v>0.20423510163470199</v>
      </c>
      <c r="Y20" s="93">
        <f t="shared" ca="1" si="49"/>
        <v>1.8496325863946641E-2</v>
      </c>
      <c r="Z20" s="290">
        <f t="shared" ca="1" si="31"/>
        <v>0</v>
      </c>
      <c r="AA20" s="290">
        <f t="shared" ca="1" si="32"/>
        <v>0</v>
      </c>
      <c r="AB20" s="93">
        <f t="shared" ca="1" si="33"/>
        <v>0.32834010424169552</v>
      </c>
      <c r="AC20" s="291">
        <f t="shared" ca="1" si="50"/>
        <v>0</v>
      </c>
      <c r="AD20" s="93">
        <f t="shared" ca="1" si="34"/>
        <v>0</v>
      </c>
      <c r="AE20" s="93">
        <f t="shared" ca="1" si="35"/>
        <v>0.32834010424169552</v>
      </c>
      <c r="AF20" s="93">
        <f t="shared" ca="1" si="36"/>
        <v>0.32834010424169552</v>
      </c>
      <c r="AG20" s="292">
        <f t="shared" ca="1" si="37"/>
        <v>0.2</v>
      </c>
      <c r="AH20" s="292">
        <f t="shared" ca="1" si="38"/>
        <v>0.12</v>
      </c>
      <c r="AI20" s="292">
        <f t="shared" ca="1" si="39"/>
        <v>6.7000000000000004E-2</v>
      </c>
      <c r="AJ20" s="292">
        <f t="shared" ca="1" si="40"/>
        <v>30</v>
      </c>
      <c r="AK20" s="293" t="b">
        <f t="shared" ca="1" si="41"/>
        <v>1</v>
      </c>
      <c r="AL20" s="293" t="b">
        <f t="shared" ca="1" si="42"/>
        <v>1</v>
      </c>
      <c r="AM20" s="293" t="b">
        <f t="shared" ca="1" si="43"/>
        <v>1</v>
      </c>
      <c r="AN20" s="294" t="str">
        <f t="shared" ca="1" si="51"/>
        <v>D</v>
      </c>
      <c r="AO20" s="294" t="b">
        <f t="shared" ca="1" si="52"/>
        <v>0</v>
      </c>
      <c r="AP20" s="294" t="b">
        <f t="shared" ca="1" si="53"/>
        <v>0</v>
      </c>
      <c r="AQ20" s="307"/>
      <c r="AR20" s="308"/>
      <c r="AS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301"/>
      <c r="BG20" s="301"/>
    </row>
    <row r="21" spans="2:62" ht="18" customHeight="1" x14ac:dyDescent="0.3">
      <c r="I21" s="301"/>
      <c r="J21" s="301"/>
      <c r="K21" s="41"/>
      <c r="L21" s="305" t="s">
        <v>72</v>
      </c>
      <c r="M21" s="306">
        <f>E48</f>
        <v>5.6808150498579142</v>
      </c>
      <c r="N21" s="88"/>
      <c r="O21" s="88">
        <v>5</v>
      </c>
      <c r="P21" s="93" t="str">
        <f t="shared" ca="1" si="27"/>
        <v>40-50</v>
      </c>
      <c r="Q21" s="93" t="str">
        <f t="shared" ca="1" si="28"/>
        <v>ПРЭМ-40</v>
      </c>
      <c r="R21" s="93">
        <f t="shared" ca="1" si="29"/>
        <v>40</v>
      </c>
      <c r="S21" s="93" t="str">
        <f t="shared" ca="1" si="30"/>
        <v>11,42</v>
      </c>
      <c r="T21" s="93">
        <f t="shared" ca="1" si="44"/>
        <v>2.511471655488108</v>
      </c>
      <c r="U21" s="289">
        <f t="shared" ca="1" si="45"/>
        <v>250690.02126994674</v>
      </c>
      <c r="V21" s="289">
        <f t="shared" ca="1" si="46"/>
        <v>4.0875226338606262E-2</v>
      </c>
      <c r="W21" s="93">
        <f t="shared" ca="1" si="47"/>
        <v>3.0319510161434582E-2</v>
      </c>
      <c r="X21" s="93">
        <f t="shared" ca="1" si="48"/>
        <v>2.3318371452135389E-2</v>
      </c>
      <c r="Y21" s="93">
        <f t="shared" ca="1" si="49"/>
        <v>3.0319510161434582E-2</v>
      </c>
      <c r="Z21" s="290">
        <f t="shared" ca="1" si="31"/>
        <v>0</v>
      </c>
      <c r="AA21" s="290">
        <f t="shared" ca="1" si="32"/>
        <v>0</v>
      </c>
      <c r="AB21" s="93">
        <f t="shared" ca="1" si="33"/>
        <v>7.9553552699047278E-2</v>
      </c>
      <c r="AC21" s="291">
        <f t="shared" ca="1" si="50"/>
        <v>0</v>
      </c>
      <c r="AD21" s="93">
        <f t="shared" ca="1" si="34"/>
        <v>0</v>
      </c>
      <c r="AE21" s="93">
        <f t="shared" ca="1" si="35"/>
        <v>7.9553552699047278E-2</v>
      </c>
      <c r="AF21" s="93">
        <f t="shared" ca="1" si="36"/>
        <v>7.9553552699047278E-2</v>
      </c>
      <c r="AG21" s="292">
        <f t="shared" ca="1" si="37"/>
        <v>0.3</v>
      </c>
      <c r="AH21" s="292">
        <f t="shared" ca="1" si="38"/>
        <v>0.18</v>
      </c>
      <c r="AI21" s="292">
        <f t="shared" ca="1" si="39"/>
        <v>0.1</v>
      </c>
      <c r="AJ21" s="292">
        <f t="shared" ca="1" si="40"/>
        <v>45</v>
      </c>
      <c r="AK21" s="293" t="b">
        <f t="shared" ca="1" si="41"/>
        <v>1</v>
      </c>
      <c r="AL21" s="293" t="b">
        <f t="shared" ca="1" si="42"/>
        <v>1</v>
      </c>
      <c r="AM21" s="293" t="b">
        <f t="shared" ca="1" si="43"/>
        <v>1</v>
      </c>
      <c r="AN21" s="294" t="str">
        <f t="shared" ca="1" si="51"/>
        <v>D</v>
      </c>
      <c r="AO21" s="294" t="b">
        <f t="shared" ca="1" si="52"/>
        <v>1</v>
      </c>
      <c r="AP21" s="294" t="b">
        <f t="shared" ca="1" si="53"/>
        <v>1</v>
      </c>
      <c r="AQ21" s="311"/>
      <c r="AR21" s="312"/>
      <c r="AS21" s="41"/>
      <c r="AT21" s="259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301"/>
      <c r="BG21" s="301"/>
    </row>
    <row r="22" spans="2:62" ht="18" customHeight="1" x14ac:dyDescent="0.3">
      <c r="K22" s="8"/>
      <c r="L22" s="305" t="s">
        <v>73</v>
      </c>
      <c r="M22" s="315">
        <f>E60</f>
        <v>4.0072941759157111E-7</v>
      </c>
      <c r="N22" s="88"/>
      <c r="O22" s="88">
        <v>6</v>
      </c>
      <c r="P22" s="93" t="str">
        <f t="shared" ca="1" si="27"/>
        <v>50-50</v>
      </c>
      <c r="Q22" s="93" t="str">
        <f t="shared" ca="1" si="28"/>
        <v>ПРЭМ-50</v>
      </c>
      <c r="R22" s="93">
        <f t="shared" ca="1" si="29"/>
        <v>50</v>
      </c>
      <c r="S22" s="93">
        <f t="shared" ca="1" si="30"/>
        <v>0</v>
      </c>
      <c r="T22" s="93">
        <f t="shared" ca="1" si="44"/>
        <v>1.6073418595123892</v>
      </c>
      <c r="U22" s="289">
        <f t="shared" ca="1" si="45"/>
        <v>200552.01701595739</v>
      </c>
      <c r="V22" s="289">
        <f t="shared" ca="1" si="46"/>
        <v>3.7850686611455138E-2</v>
      </c>
      <c r="W22" s="93">
        <f t="shared" ca="1" si="47"/>
        <v>0</v>
      </c>
      <c r="X22" s="93">
        <f t="shared" ca="1" si="48"/>
        <v>0</v>
      </c>
      <c r="Y22" s="93">
        <f t="shared" ca="1" si="49"/>
        <v>0</v>
      </c>
      <c r="Z22" s="290">
        <f t="shared" ca="1" si="31"/>
        <v>0</v>
      </c>
      <c r="AA22" s="290">
        <f t="shared" ca="1" si="32"/>
        <v>0</v>
      </c>
      <c r="AB22" s="93">
        <f t="shared" ca="1" si="33"/>
        <v>1.9936607572374761E-2</v>
      </c>
      <c r="AC22" s="291">
        <f t="shared" ca="1" si="50"/>
        <v>0</v>
      </c>
      <c r="AD22" s="93">
        <f t="shared" ca="1" si="34"/>
        <v>0</v>
      </c>
      <c r="AE22" s="93">
        <f t="shared" ca="1" si="35"/>
        <v>1.9936607572374761E-2</v>
      </c>
      <c r="AF22" s="93">
        <f t="shared" ca="1" si="36"/>
        <v>1.9936607572374761E-2</v>
      </c>
      <c r="AG22" s="292">
        <f t="shared" ca="1" si="37"/>
        <v>0.48</v>
      </c>
      <c r="AH22" s="292">
        <f t="shared" ca="1" si="38"/>
        <v>0.28799999999999998</v>
      </c>
      <c r="AI22" s="292">
        <f t="shared" ca="1" si="39"/>
        <v>0.16</v>
      </c>
      <c r="AJ22" s="292">
        <f t="shared" ca="1" si="40"/>
        <v>72</v>
      </c>
      <c r="AK22" s="293" t="b">
        <f t="shared" ca="1" si="41"/>
        <v>1</v>
      </c>
      <c r="AL22" s="293" t="b">
        <f t="shared" ca="1" si="42"/>
        <v>1</v>
      </c>
      <c r="AM22" s="293" t="b">
        <f t="shared" ca="1" si="43"/>
        <v>1</v>
      </c>
      <c r="AN22" s="294" t="str">
        <f t="shared" ca="1" si="51"/>
        <v>D</v>
      </c>
      <c r="AO22" s="294" t="b">
        <f t="shared" ca="1" si="52"/>
        <v>1</v>
      </c>
      <c r="AP22" s="294" t="b">
        <f t="shared" ca="1" si="53"/>
        <v>1</v>
      </c>
      <c r="AQ22" s="91"/>
      <c r="AS22" s="41"/>
      <c r="AT22" s="259"/>
      <c r="AU22" s="258"/>
      <c r="AV22" s="258"/>
      <c r="AW22" s="258"/>
      <c r="AX22" s="258"/>
      <c r="AY22" s="349"/>
      <c r="AZ22" s="349"/>
      <c r="BA22" s="258"/>
      <c r="BB22" s="258"/>
      <c r="BC22" s="258"/>
      <c r="BD22" s="258"/>
      <c r="BE22" s="349"/>
      <c r="BF22" s="301"/>
      <c r="BG22" s="301"/>
    </row>
    <row r="23" spans="2:62" ht="18" customHeight="1" thickBot="1" x14ac:dyDescent="0.45">
      <c r="F23" s="424"/>
      <c r="G23" s="8"/>
      <c r="H23" s="8"/>
      <c r="K23" s="8"/>
      <c r="L23" s="318" t="s">
        <v>102</v>
      </c>
      <c r="M23" s="319">
        <f>(M20/3.6)/((PI()*M19^2)/4000)</f>
        <v>1.6073418595123892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30"/>
        <v>---</v>
      </c>
      <c r="T23" s="93" t="str">
        <f t="shared" ca="1" si="44"/>
        <v>---</v>
      </c>
      <c r="U23" s="289" t="str">
        <f t="shared" ca="1" si="45"/>
        <v>---</v>
      </c>
      <c r="V23" s="289" t="str">
        <f t="shared" ca="1" si="46"/>
        <v>---</v>
      </c>
      <c r="W23" s="93" t="str">
        <f t="shared" ca="1" si="47"/>
        <v>---</v>
      </c>
      <c r="X23" s="93" t="str">
        <f t="shared" ca="1" si="48"/>
        <v>---</v>
      </c>
      <c r="Y23" s="93" t="str">
        <f t="shared" ca="1" si="49"/>
        <v>---</v>
      </c>
      <c r="Z23" s="290" t="str">
        <f t="shared" ca="1" si="31"/>
        <v>---</v>
      </c>
      <c r="AA23" s="290" t="str">
        <f t="shared" ca="1" si="32"/>
        <v>---</v>
      </c>
      <c r="AB23" s="93" t="str">
        <f t="shared" ca="1" si="33"/>
        <v>--</v>
      </c>
      <c r="AC23" s="291" t="str">
        <f t="shared" ca="1" si="50"/>
        <v>--</v>
      </c>
      <c r="AD23" s="93" t="str">
        <f t="shared" ca="1" si="34"/>
        <v>--</v>
      </c>
      <c r="AE23" s="93" t="str">
        <f t="shared" ca="1" si="35"/>
        <v>---</v>
      </c>
      <c r="AF23" s="93" t="str">
        <f t="shared" ca="1" si="36"/>
        <v>---</v>
      </c>
      <c r="AG23" s="292" t="str">
        <f t="shared" ca="1" si="37"/>
        <v>---</v>
      </c>
      <c r="AH23" s="292" t="str">
        <f t="shared" ca="1" si="38"/>
        <v>---</v>
      </c>
      <c r="AI23" s="292" t="str">
        <f t="shared" ca="1" si="39"/>
        <v>---</v>
      </c>
      <c r="AJ23" s="292" t="str">
        <f t="shared" ca="1" si="40"/>
        <v>---</v>
      </c>
      <c r="AK23" s="293" t="str">
        <f t="shared" ca="1" si="41"/>
        <v>---</v>
      </c>
      <c r="AL23" s="293" t="str">
        <f t="shared" ca="1" si="42"/>
        <v>---</v>
      </c>
      <c r="AM23" s="293" t="str">
        <f t="shared" ca="1" si="43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41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301"/>
      <c r="BG23" s="301"/>
    </row>
    <row r="24" spans="2:62" ht="18" customHeight="1" thickBot="1" x14ac:dyDescent="0.45">
      <c r="G24" s="56"/>
      <c r="K24" s="8"/>
      <c r="O24" s="88">
        <v>8</v>
      </c>
      <c r="P24" s="93" t="str">
        <f t="shared" ca="1" si="27"/>
        <v>---</v>
      </c>
      <c r="Q24" s="93" t="str">
        <f t="shared" ca="1" si="28"/>
        <v>---</v>
      </c>
      <c r="R24" s="93" t="str">
        <f t="shared" ca="1" si="29"/>
        <v>---</v>
      </c>
      <c r="S24" s="93" t="str">
        <f t="shared" ca="1" si="30"/>
        <v>---</v>
      </c>
      <c r="T24" s="93" t="str">
        <f t="shared" ca="1" si="44"/>
        <v>---</v>
      </c>
      <c r="U24" s="289" t="str">
        <f ca="1">IF(O24&lt;=$N$17,(T24*R24/$M$22/1000),"---")</f>
        <v>---</v>
      </c>
      <c r="V24" s="289" t="str">
        <f t="shared" ca="1" si="46"/>
        <v>---</v>
      </c>
      <c r="W24" s="93" t="str">
        <f t="shared" ca="1" si="47"/>
        <v>---</v>
      </c>
      <c r="X24" s="93" t="str">
        <f t="shared" ca="1" si="48"/>
        <v>---</v>
      </c>
      <c r="Y24" s="93" t="str">
        <f t="shared" ca="1" si="49"/>
        <v>---</v>
      </c>
      <c r="Z24" s="290" t="str">
        <f t="shared" ca="1" si="31"/>
        <v>---</v>
      </c>
      <c r="AA24" s="290" t="str">
        <f t="shared" ca="1" si="32"/>
        <v>---</v>
      </c>
      <c r="AB24" s="93" t="str">
        <f ca="1">IF(O24&lt;=$N$17,(V24*4+W24+X24+Y24)*T24^2/(2*9.81),"--")</f>
        <v>--</v>
      </c>
      <c r="AC24" s="291" t="str">
        <f t="shared" ca="1" si="50"/>
        <v>--</v>
      </c>
      <c r="AD24" s="93" t="str">
        <f ca="1">IF(O24&lt;=$N$17,(AA24*$M$20^2),"--")</f>
        <v>--</v>
      </c>
      <c r="AE24" s="93" t="str">
        <f t="shared" ca="1" si="35"/>
        <v>---</v>
      </c>
      <c r="AF24" s="93" t="str">
        <f t="shared" ca="1" si="36"/>
        <v>---</v>
      </c>
      <c r="AG24" s="292" t="str">
        <f t="shared" ca="1" si="37"/>
        <v>---</v>
      </c>
      <c r="AH24" s="292" t="str">
        <f t="shared" ca="1" si="38"/>
        <v>---</v>
      </c>
      <c r="AI24" s="292" t="str">
        <f t="shared" ca="1" si="39"/>
        <v>---</v>
      </c>
      <c r="AJ24" s="292" t="str">
        <f t="shared" ca="1" si="40"/>
        <v>---</v>
      </c>
      <c r="AK24" s="293" t="str">
        <f t="shared" ca="1" si="41"/>
        <v>---</v>
      </c>
      <c r="AL24" s="293" t="str">
        <f t="shared" ca="1" si="42"/>
        <v>---</v>
      </c>
      <c r="AM24" s="293" t="str">
        <f t="shared" ca="1" si="43"/>
        <v>---</v>
      </c>
      <c r="AN24" s="294" t="str">
        <f t="shared" ca="1" si="51"/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41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01"/>
      <c r="BG24" s="301"/>
    </row>
    <row r="25" spans="2:62" ht="25" customHeight="1" thickBot="1" x14ac:dyDescent="0.45">
      <c r="B25" s="800" t="s">
        <v>447</v>
      </c>
      <c r="C25" s="833"/>
      <c r="D25" s="831" t="s">
        <v>449</v>
      </c>
      <c r="E25" s="832"/>
      <c r="G25" s="56"/>
      <c r="K25" s="8"/>
      <c r="O25" s="88">
        <v>9</v>
      </c>
      <c r="P25" s="93" t="str">
        <f t="shared" ca="1" si="27"/>
        <v>---</v>
      </c>
      <c r="Q25" s="93" t="str">
        <f t="shared" ca="1" si="28"/>
        <v>---</v>
      </c>
      <c r="R25" s="93" t="str">
        <f t="shared" ca="1" si="29"/>
        <v>---</v>
      </c>
      <c r="S25" s="93" t="str">
        <f t="shared" ca="1" si="30"/>
        <v>---</v>
      </c>
      <c r="T25" s="93" t="str">
        <f t="shared" ca="1" si="44"/>
        <v>---</v>
      </c>
      <c r="U25" s="289" t="str">
        <f t="shared" ca="1" si="45"/>
        <v>---</v>
      </c>
      <c r="V25" s="289" t="str">
        <f ca="1">IF(O25&lt;=$N$4,(1/(1.14+2*LOG((R25/$M$4),10))^2),"---")</f>
        <v>---</v>
      </c>
      <c r="W25" s="93" t="str">
        <f t="shared" ca="1" si="47"/>
        <v>---</v>
      </c>
      <c r="X25" s="93" t="str">
        <f t="shared" ca="1" si="48"/>
        <v>---</v>
      </c>
      <c r="Y25" s="93" t="str">
        <f t="shared" ca="1" si="49"/>
        <v>---</v>
      </c>
      <c r="Z25" s="290" t="str">
        <f t="shared" ca="1" si="31"/>
        <v>---</v>
      </c>
      <c r="AA25" s="290" t="str">
        <f t="shared" ca="1" si="32"/>
        <v>---</v>
      </c>
      <c r="AB25" s="93" t="str">
        <f ca="1">IF(O25&lt;=$N$17,(V25*4+W25+X25+Y25)*T25^2/(2*9.81),"--")</f>
        <v>--</v>
      </c>
      <c r="AC25" s="291" t="str">
        <f t="shared" ca="1" si="50"/>
        <v>--</v>
      </c>
      <c r="AD25" s="93" t="str">
        <f t="shared" ca="1" si="34"/>
        <v>--</v>
      </c>
      <c r="AE25" s="93" t="str">
        <f t="shared" ca="1" si="35"/>
        <v>---</v>
      </c>
      <c r="AF25" s="93" t="str">
        <f t="shared" ca="1" si="36"/>
        <v>---</v>
      </c>
      <c r="AG25" s="292" t="str">
        <f t="shared" ca="1" si="37"/>
        <v>---</v>
      </c>
      <c r="AH25" s="292" t="str">
        <f t="shared" ca="1" si="38"/>
        <v>---</v>
      </c>
      <c r="AI25" s="292" t="str">
        <f t="shared" ca="1" si="39"/>
        <v>---</v>
      </c>
      <c r="AJ25" s="292" t="str">
        <f t="shared" ca="1" si="40"/>
        <v>---</v>
      </c>
      <c r="AK25" s="293" t="str">
        <f t="shared" ca="1" si="41"/>
        <v>---</v>
      </c>
      <c r="AL25" s="293" t="str">
        <f t="shared" ca="1" si="42"/>
        <v>---</v>
      </c>
      <c r="AM25" s="293" t="str">
        <f t="shared" ca="1" si="43"/>
        <v>---</v>
      </c>
      <c r="AN25" s="294" t="str">
        <f t="shared" ca="1" si="51"/>
        <v>---</v>
      </c>
      <c r="AO25" s="294" t="str">
        <f t="shared" ca="1" si="52"/>
        <v>---</v>
      </c>
      <c r="AP25" s="294" t="str">
        <f t="shared" ca="1" si="53"/>
        <v>---</v>
      </c>
      <c r="AT25" s="41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01"/>
      <c r="BG25" s="301"/>
    </row>
    <row r="26" spans="2:62" ht="18" customHeight="1" thickBot="1" x14ac:dyDescent="0.45">
      <c r="G26" s="329"/>
      <c r="K26" s="8"/>
      <c r="O26" s="88">
        <v>10</v>
      </c>
      <c r="P26" s="93" t="str">
        <f t="shared" ca="1" si="27"/>
        <v>---</v>
      </c>
      <c r="Q26" s="93" t="str">
        <f t="shared" ca="1" si="28"/>
        <v>---</v>
      </c>
      <c r="R26" s="93" t="str">
        <f t="shared" ca="1" si="29"/>
        <v>---</v>
      </c>
      <c r="S26" s="93" t="str">
        <f t="shared" ca="1" si="30"/>
        <v>---</v>
      </c>
      <c r="T26" s="93" t="str">
        <f t="shared" ca="1" si="44"/>
        <v>---</v>
      </c>
      <c r="U26" s="289" t="str">
        <f t="shared" ca="1" si="45"/>
        <v>---</v>
      </c>
      <c r="V26" s="289" t="str">
        <f ca="1">IF(O26&lt;=$N$4,(1/(1.14+2*LOG((R26/$M$4),10))^2),"---")</f>
        <v>---</v>
      </c>
      <c r="W26" s="93" t="str">
        <f t="shared" ca="1" si="47"/>
        <v>---</v>
      </c>
      <c r="X26" s="93" t="str">
        <f t="shared" ca="1" si="48"/>
        <v>---</v>
      </c>
      <c r="Y26" s="93" t="str">
        <f t="shared" ca="1" si="49"/>
        <v>---</v>
      </c>
      <c r="Z26" s="290" t="str">
        <f t="shared" ca="1" si="31"/>
        <v>---</v>
      </c>
      <c r="AA26" s="290" t="str">
        <f t="shared" ca="1" si="32"/>
        <v>---</v>
      </c>
      <c r="AB26" s="93" t="str">
        <f t="shared" ca="1" si="33"/>
        <v>--</v>
      </c>
      <c r="AC26" s="291" t="str">
        <f t="shared" ca="1" si="50"/>
        <v>--</v>
      </c>
      <c r="AD26" s="93" t="str">
        <f t="shared" ca="1" si="34"/>
        <v>--</v>
      </c>
      <c r="AE26" s="93" t="str">
        <f t="shared" ca="1" si="35"/>
        <v>---</v>
      </c>
      <c r="AF26" s="93" t="str">
        <f t="shared" ca="1" si="36"/>
        <v>---</v>
      </c>
      <c r="AG26" s="292" t="str">
        <f t="shared" ca="1" si="37"/>
        <v>---</v>
      </c>
      <c r="AH26" s="292" t="str">
        <f t="shared" ca="1" si="38"/>
        <v>---</v>
      </c>
      <c r="AI26" s="292" t="str">
        <f t="shared" ca="1" si="39"/>
        <v>---</v>
      </c>
      <c r="AJ26" s="292" t="str">
        <f t="shared" ca="1" si="40"/>
        <v>---</v>
      </c>
      <c r="AK26" s="293" t="str">
        <f t="shared" ca="1" si="41"/>
        <v>---</v>
      </c>
      <c r="AL26" s="293" t="str">
        <f t="shared" ca="1" si="42"/>
        <v>---</v>
      </c>
      <c r="AM26" s="293" t="str">
        <f t="shared" ca="1" si="43"/>
        <v>---</v>
      </c>
      <c r="AN26" s="294" t="str">
        <f t="shared" ca="1" si="51"/>
        <v>---</v>
      </c>
      <c r="AO26" s="294" t="str">
        <f t="shared" ca="1" si="52"/>
        <v>---</v>
      </c>
      <c r="AP26" s="294" t="str">
        <f t="shared" ca="1" si="53"/>
        <v>---</v>
      </c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301"/>
      <c r="BH26" s="301"/>
    </row>
    <row r="27" spans="2:62" ht="25" customHeight="1" thickBot="1" x14ac:dyDescent="0.45">
      <c r="B27" s="800" t="s">
        <v>17</v>
      </c>
      <c r="C27" s="801"/>
      <c r="D27" s="801"/>
      <c r="E27" s="121"/>
      <c r="G27" s="329"/>
      <c r="K27" s="8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01"/>
      <c r="BH27" s="301"/>
    </row>
    <row r="28" spans="2:62" ht="18" customHeight="1" thickBot="1" x14ac:dyDescent="0.45">
      <c r="D28" s="811" t="s">
        <v>41</v>
      </c>
      <c r="E28" s="812"/>
      <c r="F28" s="8"/>
      <c r="G28" s="329"/>
      <c r="K28" s="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301"/>
      <c r="BJ28" s="301"/>
    </row>
    <row r="29" spans="2:62" ht="18" customHeight="1" thickBot="1" x14ac:dyDescent="0.45">
      <c r="B29" s="821" t="s">
        <v>68</v>
      </c>
      <c r="C29" s="822"/>
      <c r="D29" s="804">
        <v>0.5</v>
      </c>
      <c r="E29" s="805"/>
      <c r="F29" s="56"/>
      <c r="G29" s="329"/>
      <c r="K29" s="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301"/>
      <c r="BJ29" s="301"/>
    </row>
    <row r="30" spans="2:62" ht="18" customHeight="1" thickBot="1" x14ac:dyDescent="0.45">
      <c r="B30" s="821" t="s">
        <v>31</v>
      </c>
      <c r="C30" s="822"/>
      <c r="D30" s="804" t="s">
        <v>37</v>
      </c>
      <c r="E30" s="805"/>
      <c r="F30" s="414"/>
      <c r="G30" s="329"/>
      <c r="K30" s="8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301"/>
      <c r="BJ30" s="301"/>
    </row>
    <row r="31" spans="2:62" ht="18" customHeight="1" x14ac:dyDescent="0.4">
      <c r="B31" s="821" t="s">
        <v>23</v>
      </c>
      <c r="C31" s="822"/>
      <c r="D31" s="94">
        <v>0.5</v>
      </c>
      <c r="E31" s="94">
        <v>0.5</v>
      </c>
      <c r="F31" s="425"/>
      <c r="G31" s="8"/>
      <c r="K31" s="8"/>
      <c r="AW31" s="67"/>
      <c r="AX31" s="67"/>
      <c r="AY31" s="67"/>
      <c r="AZ31" s="67"/>
      <c r="BA31" s="18"/>
      <c r="BB31" s="18"/>
      <c r="BC31" s="18"/>
      <c r="BD31" s="18"/>
      <c r="BE31" s="18"/>
      <c r="BF31" s="18"/>
      <c r="BG31" s="18"/>
      <c r="BH31" s="18"/>
      <c r="BI31" s="301"/>
      <c r="BJ31" s="301"/>
    </row>
    <row r="32" spans="2:62" ht="18" customHeight="1" x14ac:dyDescent="0.4">
      <c r="B32" s="821" t="s">
        <v>412</v>
      </c>
      <c r="C32" s="822"/>
      <c r="D32" s="15">
        <v>50</v>
      </c>
      <c r="E32" s="15">
        <v>50</v>
      </c>
      <c r="F32" s="81"/>
      <c r="G32" s="56"/>
      <c r="K32" s="8"/>
      <c r="AW32" s="426"/>
      <c r="AX32" s="426"/>
      <c r="AY32" s="68"/>
      <c r="AZ32" s="67"/>
      <c r="BC32" s="22"/>
      <c r="BD32" s="22"/>
      <c r="BE32" s="22"/>
      <c r="BF32" s="22"/>
      <c r="BG32" s="22"/>
      <c r="BH32" s="22"/>
      <c r="BI32" s="301"/>
      <c r="BJ32" s="301"/>
    </row>
    <row r="33" spans="2:62" ht="18" customHeight="1" thickBot="1" x14ac:dyDescent="0.45">
      <c r="B33" s="817" t="s">
        <v>30</v>
      </c>
      <c r="C33" s="818"/>
      <c r="D33" s="16">
        <v>7</v>
      </c>
      <c r="E33" s="16">
        <v>5</v>
      </c>
      <c r="F33" s="427"/>
      <c r="G33" s="8"/>
      <c r="K33" s="8"/>
      <c r="AW33" s="426"/>
      <c r="AX33" s="426"/>
      <c r="AY33" s="68"/>
      <c r="AZ33" s="67"/>
      <c r="BC33" s="36"/>
      <c r="BD33" s="36"/>
      <c r="BE33" s="36"/>
      <c r="BF33" s="36"/>
      <c r="BG33" s="36"/>
      <c r="BH33" s="41"/>
      <c r="BI33" s="301"/>
      <c r="BJ33" s="301"/>
    </row>
    <row r="34" spans="2:62" ht="18" customHeight="1" thickBot="1" x14ac:dyDescent="0.4">
      <c r="F34" s="8"/>
      <c r="G34" s="333"/>
      <c r="K34" s="8"/>
      <c r="AW34" s="426"/>
      <c r="AX34" s="426"/>
      <c r="AY34" s="428"/>
      <c r="AZ34" s="429"/>
      <c r="BC34" s="41"/>
      <c r="BD34" s="41"/>
      <c r="BE34" s="41"/>
      <c r="BF34" s="41"/>
      <c r="BG34" s="41"/>
      <c r="BH34" s="41"/>
      <c r="BI34" s="301"/>
      <c r="BJ34" s="301"/>
    </row>
    <row r="35" spans="2:62" ht="25" customHeight="1" thickBot="1" x14ac:dyDescent="0.45">
      <c r="B35" s="800" t="s">
        <v>35</v>
      </c>
      <c r="C35" s="801"/>
      <c r="D35" s="801"/>
      <c r="E35" s="121"/>
      <c r="F35" s="8"/>
      <c r="G35" s="333"/>
      <c r="K35" s="8"/>
      <c r="AW35" s="426"/>
      <c r="AX35" s="426"/>
      <c r="AY35" s="428"/>
      <c r="AZ35" s="429"/>
      <c r="BC35" s="41"/>
      <c r="BD35" s="41"/>
      <c r="BE35" s="41"/>
      <c r="BF35" s="41"/>
      <c r="BG35" s="41"/>
      <c r="BH35" s="41"/>
      <c r="BI35" s="301"/>
      <c r="BJ35" s="301"/>
    </row>
    <row r="36" spans="2:62" ht="45" customHeight="1" thickBot="1" x14ac:dyDescent="0.45">
      <c r="B36" s="823" t="s">
        <v>106</v>
      </c>
      <c r="C36" s="824"/>
      <c r="D36" s="119" t="str">
        <f ca="1">AR3</f>
        <v>ПРЭМ-40-D-Сэндвич</v>
      </c>
      <c r="E36" s="120" t="str">
        <f ca="1">AR16</f>
        <v>ПРЭМ-40-D-Cэндвич</v>
      </c>
      <c r="F36" s="69"/>
      <c r="G36" s="333"/>
      <c r="K36" s="8"/>
      <c r="L36" s="430"/>
      <c r="M36" s="431"/>
      <c r="N36" s="432"/>
      <c r="O36" s="432"/>
      <c r="P36" s="432"/>
      <c r="Q36" s="432"/>
      <c r="R36" s="433"/>
      <c r="S36" s="433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2"/>
      <c r="AJ36" s="432"/>
      <c r="AK36" s="432"/>
      <c r="AL36" s="434"/>
      <c r="AM36" s="432"/>
      <c r="AN36" s="432"/>
      <c r="AO36" s="8"/>
      <c r="AP36" s="8"/>
      <c r="AQ36" s="8"/>
      <c r="AR36" s="8"/>
      <c r="AS36" s="8"/>
      <c r="AT36" s="8"/>
      <c r="AU36" s="8"/>
      <c r="AW36" s="426"/>
      <c r="AX36" s="426"/>
      <c r="AY36" s="428"/>
      <c r="AZ36" s="435"/>
      <c r="BC36" s="41"/>
      <c r="BD36" s="41"/>
      <c r="BE36" s="41"/>
      <c r="BF36" s="41"/>
      <c r="BG36" s="41"/>
      <c r="BH36" s="41"/>
      <c r="BI36" s="301"/>
      <c r="BJ36" s="301"/>
    </row>
    <row r="37" spans="2:62" ht="18" customHeight="1" x14ac:dyDescent="0.35">
      <c r="B37" s="819" t="s">
        <v>58</v>
      </c>
      <c r="C37" s="820"/>
      <c r="D37" s="27">
        <f ca="1">VLOOKUP(AT3,ParamPiterflow,4,FALSE)</f>
        <v>45</v>
      </c>
      <c r="E37" s="28">
        <f ca="1">VLOOKUP(AT16,ParamPiterflow,4,FALSE)</f>
        <v>45</v>
      </c>
      <c r="F37" s="8"/>
      <c r="G37" s="333"/>
      <c r="K37" s="8"/>
      <c r="L37" s="430"/>
      <c r="M37" s="433"/>
      <c r="N37" s="432"/>
      <c r="O37" s="432"/>
      <c r="P37" s="432"/>
      <c r="Q37" s="432"/>
      <c r="R37" s="436"/>
      <c r="S37" s="433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4"/>
      <c r="AM37" s="432"/>
      <c r="AN37" s="432"/>
      <c r="AO37" s="8"/>
      <c r="AP37" s="8"/>
      <c r="AQ37" s="8"/>
      <c r="AR37" s="8"/>
      <c r="AS37" s="8"/>
      <c r="AT37" s="8"/>
      <c r="AU37" s="8"/>
      <c r="AV37" s="428"/>
      <c r="AW37" s="426"/>
      <c r="AX37" s="426"/>
      <c r="AY37" s="428"/>
      <c r="AZ37" s="435"/>
      <c r="BC37" s="41"/>
      <c r="BD37" s="41"/>
      <c r="BE37" s="41"/>
      <c r="BF37" s="41"/>
      <c r="BG37" s="41"/>
      <c r="BH37" s="41"/>
      <c r="BI37" s="301"/>
      <c r="BJ37" s="301"/>
    </row>
    <row r="38" spans="2:62" ht="18" customHeight="1" x14ac:dyDescent="0.35">
      <c r="B38" s="815" t="s">
        <v>233</v>
      </c>
      <c r="C38" s="816"/>
      <c r="D38" s="29">
        <f ca="1">VLOOKUP(AT3,ParamPiterflow,3,FALSE)</f>
        <v>0.45</v>
      </c>
      <c r="E38" s="30">
        <f ca="1">VLOOKUP(AT16,ParamPiterflow,3,FALSE)</f>
        <v>0.45</v>
      </c>
      <c r="F38" s="8"/>
      <c r="G38" s="333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428"/>
      <c r="AW38" s="426"/>
      <c r="AX38" s="426"/>
      <c r="AY38" s="428"/>
      <c r="AZ38" s="435"/>
      <c r="BC38" s="41"/>
      <c r="BD38" s="41"/>
      <c r="BE38" s="41"/>
      <c r="BF38" s="41"/>
      <c r="BG38" s="41"/>
      <c r="BH38" s="41"/>
      <c r="BI38" s="301"/>
      <c r="BJ38" s="301"/>
    </row>
    <row r="39" spans="2:62" ht="18" customHeight="1" thickBot="1" x14ac:dyDescent="0.4">
      <c r="B39" s="815" t="s">
        <v>101</v>
      </c>
      <c r="C39" s="816"/>
      <c r="D39" s="31">
        <f ca="1">VLOOKUP(AT3,ParamPiterflow,2,FALSE)</f>
        <v>0.3</v>
      </c>
      <c r="E39" s="32">
        <f ca="1">VLOOKUP(AT16,ParamPiterflow,2,FALSE)</f>
        <v>0.3</v>
      </c>
      <c r="F39" s="8"/>
      <c r="G39" s="33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428"/>
      <c r="AW39" s="428"/>
      <c r="AX39" s="428"/>
      <c r="AY39" s="437"/>
      <c r="AZ39" s="435"/>
      <c r="BA39" s="41"/>
      <c r="BB39" s="41"/>
      <c r="BC39" s="41"/>
      <c r="BD39" s="41"/>
      <c r="BE39" s="41"/>
      <c r="BF39" s="41"/>
      <c r="BG39" s="41"/>
      <c r="BH39" s="41"/>
      <c r="BI39" s="301"/>
      <c r="BJ39" s="301"/>
    </row>
    <row r="40" spans="2:62" ht="18" customHeight="1" thickBot="1" x14ac:dyDescent="0.45">
      <c r="F40" s="8"/>
      <c r="G40" s="333"/>
      <c r="K40" s="8"/>
      <c r="L40" s="8"/>
      <c r="M40" s="8"/>
      <c r="N40" s="258"/>
      <c r="O40" s="334"/>
      <c r="P40" s="334"/>
      <c r="Q40" s="438"/>
      <c r="R40" s="334"/>
      <c r="S40" s="8"/>
      <c r="T40" s="8"/>
      <c r="U40" s="334"/>
      <c r="V40" s="438"/>
      <c r="W40" s="334"/>
      <c r="X40" s="334"/>
      <c r="Y40" s="438"/>
      <c r="Z40" s="438"/>
      <c r="AA40" s="438"/>
      <c r="AB40" s="438"/>
      <c r="AC40" s="438"/>
      <c r="AD40" s="334"/>
      <c r="AE40" s="334"/>
      <c r="AF40" s="334"/>
      <c r="AG40" s="438"/>
      <c r="AH40" s="438"/>
      <c r="AI40" s="334"/>
      <c r="AJ40" s="334"/>
      <c r="AK40" s="438"/>
      <c r="AL40" s="334"/>
      <c r="AM40" s="334"/>
      <c r="AN40" s="438"/>
      <c r="AO40" s="334"/>
      <c r="AP40" s="334"/>
      <c r="AQ40" s="334"/>
      <c r="AR40" s="334"/>
      <c r="AS40" s="439"/>
      <c r="AT40" s="41"/>
      <c r="AU40" s="8"/>
      <c r="AV40" s="428"/>
      <c r="AW40" s="335"/>
      <c r="AX40" s="41"/>
      <c r="AY40" s="335"/>
      <c r="AZ40" s="335"/>
      <c r="BA40" s="41"/>
      <c r="BB40" s="41"/>
      <c r="BC40" s="41"/>
      <c r="BD40" s="41"/>
      <c r="BE40" s="41"/>
      <c r="BF40" s="41"/>
      <c r="BG40" s="41"/>
      <c r="BH40" s="41"/>
      <c r="BI40" s="301"/>
      <c r="BJ40" s="301"/>
    </row>
    <row r="41" spans="2:62" ht="25" customHeight="1" thickBot="1" x14ac:dyDescent="0.45">
      <c r="B41" s="800" t="s">
        <v>107</v>
      </c>
      <c r="C41" s="801"/>
      <c r="D41" s="801"/>
      <c r="E41" s="121"/>
      <c r="F41" s="8"/>
      <c r="G41" s="333"/>
      <c r="K41" s="8"/>
      <c r="L41" s="41"/>
      <c r="M41" s="440"/>
      <c r="N41" s="258"/>
      <c r="O41" s="334"/>
      <c r="P41" s="334"/>
      <c r="Q41" s="438"/>
      <c r="R41" s="334"/>
      <c r="S41" s="8"/>
      <c r="T41" s="8"/>
      <c r="U41" s="334"/>
      <c r="V41" s="438"/>
      <c r="W41" s="334"/>
      <c r="X41" s="334"/>
      <c r="Y41" s="8"/>
      <c r="Z41" s="8"/>
      <c r="AA41" s="8"/>
      <c r="AB41" s="8"/>
      <c r="AC41" s="8"/>
      <c r="AD41" s="441"/>
      <c r="AE41" s="441"/>
      <c r="AF41" s="441"/>
      <c r="AG41" s="441"/>
      <c r="AH41" s="441"/>
      <c r="AI41" s="334"/>
      <c r="AJ41" s="334"/>
      <c r="AK41" s="438"/>
      <c r="AL41" s="334"/>
      <c r="AM41" s="334"/>
      <c r="AN41" s="438"/>
      <c r="AO41" s="334"/>
      <c r="AP41" s="334"/>
      <c r="AQ41" s="334"/>
      <c r="AR41" s="334"/>
      <c r="AS41" s="41"/>
      <c r="AT41" s="41"/>
      <c r="AU41" s="41"/>
      <c r="AV41" s="437"/>
      <c r="AW41" s="314"/>
      <c r="AX41" s="41"/>
      <c r="AY41" s="314"/>
      <c r="AZ41" s="314"/>
      <c r="BA41" s="41"/>
      <c r="BB41" s="41"/>
      <c r="BC41" s="41"/>
      <c r="BD41" s="41"/>
      <c r="BE41" s="41"/>
      <c r="BF41" s="41"/>
      <c r="BG41" s="41"/>
      <c r="BH41" s="41"/>
      <c r="BI41" s="301"/>
      <c r="BJ41" s="301"/>
    </row>
    <row r="42" spans="2:62" ht="18" customHeight="1" x14ac:dyDescent="0.4">
      <c r="B42" s="395" t="s">
        <v>28</v>
      </c>
      <c r="C42" s="396"/>
      <c r="D42" s="113">
        <f>1000*$D$29/VLOOKUP(D30,TemperGrafik,3,FALSE)</f>
        <v>11.111111111111111</v>
      </c>
      <c r="E42" s="113">
        <f>D42</f>
        <v>11.111111111111111</v>
      </c>
      <c r="F42" s="8"/>
      <c r="G42" s="56"/>
      <c r="K42" s="8"/>
      <c r="L42" s="41"/>
      <c r="M42" s="440"/>
      <c r="N42" s="258"/>
      <c r="O42" s="334"/>
      <c r="P42" s="334"/>
      <c r="Q42" s="438"/>
      <c r="R42" s="334"/>
      <c r="S42" s="8"/>
      <c r="T42" s="8"/>
      <c r="U42" s="334"/>
      <c r="V42" s="438"/>
      <c r="W42" s="334"/>
      <c r="X42" s="334"/>
      <c r="Y42" s="8"/>
      <c r="Z42" s="8"/>
      <c r="AA42" s="8"/>
      <c r="AB42" s="8"/>
      <c r="AC42" s="8"/>
      <c r="AD42" s="259"/>
      <c r="AE42" s="259"/>
      <c r="AF42" s="259"/>
      <c r="AG42" s="259"/>
      <c r="AH42" s="259"/>
      <c r="AI42" s="334"/>
      <c r="AJ42" s="334"/>
      <c r="AK42" s="438"/>
      <c r="AL42" s="334"/>
      <c r="AM42" s="334"/>
      <c r="AN42" s="438"/>
      <c r="AO42" s="334"/>
      <c r="AP42" s="334"/>
      <c r="AQ42" s="334"/>
      <c r="AR42" s="334"/>
      <c r="AS42" s="41"/>
      <c r="AT42" s="41"/>
      <c r="AU42" s="41"/>
      <c r="AV42" s="335"/>
      <c r="AW42" s="338"/>
      <c r="AX42" s="41"/>
      <c r="AY42" s="316"/>
      <c r="AZ42" s="338"/>
      <c r="BA42" s="41"/>
      <c r="BB42" s="41"/>
      <c r="BC42" s="41"/>
      <c r="BD42" s="41"/>
      <c r="BE42" s="41"/>
      <c r="BF42" s="41"/>
      <c r="BG42" s="41"/>
      <c r="BH42" s="41"/>
      <c r="BI42" s="301"/>
      <c r="BJ42" s="301"/>
    </row>
    <row r="43" spans="2:62" ht="18" customHeight="1" x14ac:dyDescent="0.4">
      <c r="B43" s="336" t="s">
        <v>27</v>
      </c>
      <c r="C43" s="337"/>
      <c r="D43" s="14">
        <f>D42*0.5</f>
        <v>5.5555555555555554</v>
      </c>
      <c r="E43" s="14">
        <f>D43</f>
        <v>5.5555555555555554</v>
      </c>
      <c r="K43" s="8"/>
      <c r="L43" s="41"/>
      <c r="M43" s="440"/>
      <c r="N43" s="258"/>
      <c r="O43" s="334"/>
      <c r="P43" s="334"/>
      <c r="Q43" s="438"/>
      <c r="R43" s="334"/>
      <c r="S43" s="8"/>
      <c r="T43" s="8"/>
      <c r="U43" s="334"/>
      <c r="V43" s="438"/>
      <c r="W43" s="334"/>
      <c r="X43" s="334"/>
      <c r="Y43" s="8"/>
      <c r="Z43" s="8"/>
      <c r="AA43" s="8"/>
      <c r="AB43" s="8"/>
      <c r="AC43" s="8"/>
      <c r="AD43" s="259"/>
      <c r="AE43" s="259"/>
      <c r="AF43" s="259"/>
      <c r="AG43" s="442"/>
      <c r="AH43" s="442"/>
      <c r="AI43" s="334"/>
      <c r="AJ43" s="334"/>
      <c r="AK43" s="438"/>
      <c r="AL43" s="334"/>
      <c r="AM43" s="334"/>
      <c r="AN43" s="438"/>
      <c r="AO43" s="334"/>
      <c r="AP43" s="334"/>
      <c r="AQ43" s="334"/>
      <c r="AR43" s="334"/>
      <c r="AS43" s="41"/>
      <c r="AT43" s="41"/>
      <c r="AU43" s="41"/>
      <c r="AV43" s="313"/>
      <c r="AW43" s="41"/>
      <c r="AX43" s="41"/>
      <c r="AY43" s="10"/>
      <c r="AZ43" s="10"/>
      <c r="BA43" s="41"/>
      <c r="BB43" s="41"/>
      <c r="BC43" s="41"/>
      <c r="BD43" s="41"/>
      <c r="BE43" s="41"/>
      <c r="BF43" s="41"/>
      <c r="BG43" s="41"/>
      <c r="BH43" s="41"/>
      <c r="BI43" s="301"/>
      <c r="BJ43" s="301"/>
    </row>
    <row r="44" spans="2:62" ht="18" customHeight="1" x14ac:dyDescent="0.35">
      <c r="F44" s="8"/>
      <c r="K44" s="8"/>
      <c r="L44" s="41"/>
      <c r="M44" s="440"/>
      <c r="N44" s="258"/>
      <c r="O44" s="334"/>
      <c r="P44" s="334"/>
      <c r="Q44" s="438"/>
      <c r="R44" s="334"/>
      <c r="S44" s="8"/>
      <c r="T44" s="8"/>
      <c r="U44" s="334"/>
      <c r="V44" s="438"/>
      <c r="W44" s="334"/>
      <c r="X44" s="334"/>
      <c r="Y44" s="8"/>
      <c r="Z44" s="8"/>
      <c r="AA44" s="8"/>
      <c r="AB44" s="8"/>
      <c r="AC44" s="8"/>
      <c r="AD44" s="259"/>
      <c r="AE44" s="259"/>
      <c r="AF44" s="259"/>
      <c r="AG44" s="259"/>
      <c r="AH44" s="259"/>
      <c r="AI44" s="334"/>
      <c r="AJ44" s="334"/>
      <c r="AK44" s="438"/>
      <c r="AL44" s="334"/>
      <c r="AM44" s="334"/>
      <c r="AN44" s="438"/>
      <c r="AO44" s="334"/>
      <c r="AP44" s="334"/>
      <c r="AQ44" s="334"/>
      <c r="AR44" s="334"/>
      <c r="AS44" s="41"/>
      <c r="AT44" s="41"/>
      <c r="AU44" s="41"/>
      <c r="AV44" s="316"/>
      <c r="AW44" s="10"/>
      <c r="AX44" s="41"/>
      <c r="AY44" s="10"/>
      <c r="AZ44" s="10"/>
      <c r="BA44" s="41"/>
      <c r="BB44" s="41"/>
      <c r="BC44" s="41"/>
      <c r="BD44" s="41"/>
      <c r="BE44" s="41"/>
      <c r="BF44" s="41"/>
      <c r="BG44" s="41"/>
      <c r="BH44" s="41"/>
      <c r="BI44" s="301"/>
      <c r="BJ44" s="301"/>
    </row>
    <row r="45" spans="2:62" ht="18" customHeight="1" x14ac:dyDescent="0.4">
      <c r="B45" s="336" t="s">
        <v>29</v>
      </c>
      <c r="C45" s="337"/>
      <c r="D45" s="34">
        <f>VLOOKUP(D30,TemperGrafik,2,FALSE)</f>
        <v>115</v>
      </c>
      <c r="E45" s="34">
        <f>VLOOKUP(D30,TemperGrafik,4,FALSE)</f>
        <v>70</v>
      </c>
      <c r="F45" s="69"/>
      <c r="L45" s="301"/>
      <c r="M45" s="440"/>
      <c r="N45" s="258"/>
      <c r="O45" s="334"/>
      <c r="P45" s="334"/>
      <c r="Q45" s="438"/>
      <c r="R45" s="334"/>
      <c r="U45" s="334"/>
      <c r="V45" s="438"/>
      <c r="W45" s="334"/>
      <c r="X45" s="334"/>
      <c r="Y45" s="343"/>
      <c r="Z45" s="343"/>
      <c r="AA45" s="343"/>
      <c r="AB45" s="343"/>
      <c r="AC45" s="343"/>
      <c r="AD45" s="443"/>
      <c r="AE45" s="443"/>
      <c r="AF45" s="443"/>
      <c r="AG45" s="443"/>
      <c r="AH45" s="443"/>
      <c r="AI45" s="334"/>
      <c r="AJ45" s="334"/>
      <c r="AK45" s="438"/>
      <c r="AL45" s="334"/>
      <c r="AM45" s="334"/>
      <c r="AN45" s="438"/>
      <c r="AO45" s="334"/>
      <c r="AP45" s="334"/>
      <c r="AQ45" s="334"/>
      <c r="AR45" s="334"/>
      <c r="AS45" s="41"/>
      <c r="AT45" s="41"/>
      <c r="AU45" s="41"/>
      <c r="AV45" s="41"/>
      <c r="AW45" s="41"/>
      <c r="AX45" s="41"/>
      <c r="AY45" s="10"/>
      <c r="AZ45" s="10"/>
      <c r="BA45" s="41"/>
      <c r="BB45" s="41"/>
      <c r="BC45" s="41"/>
      <c r="BD45" s="41"/>
      <c r="BE45" s="41"/>
      <c r="BF45" s="41"/>
      <c r="BG45" s="41"/>
      <c r="BH45" s="41"/>
      <c r="BI45" s="301"/>
      <c r="BJ45" s="301"/>
    </row>
    <row r="46" spans="2:62" ht="18" customHeight="1" x14ac:dyDescent="0.3">
      <c r="B46" s="340" t="s">
        <v>57</v>
      </c>
      <c r="C46" s="341"/>
      <c r="D46" s="26">
        <f>D73</f>
        <v>947.33596406304093</v>
      </c>
      <c r="E46" s="26">
        <f>E73</f>
        <v>977.95043612527195</v>
      </c>
      <c r="F46" s="8"/>
      <c r="G46" s="333"/>
      <c r="L46" s="301"/>
      <c r="M46" s="440"/>
      <c r="N46" s="258"/>
      <c r="O46" s="334"/>
      <c r="P46" s="334"/>
      <c r="Q46" s="438"/>
      <c r="R46" s="334"/>
      <c r="U46" s="334"/>
      <c r="V46" s="438"/>
      <c r="W46" s="334"/>
      <c r="X46" s="334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34"/>
      <c r="AJ46" s="334"/>
      <c r="AK46" s="438"/>
      <c r="AL46" s="334"/>
      <c r="AM46" s="334"/>
      <c r="AN46" s="438"/>
      <c r="AO46" s="334"/>
      <c r="AP46" s="334"/>
      <c r="AQ46" s="334"/>
      <c r="AR46" s="334"/>
      <c r="AS46" s="41"/>
      <c r="AT46" s="41"/>
      <c r="AU46" s="41"/>
      <c r="AV46" s="10"/>
      <c r="AW46" s="10"/>
      <c r="AX46" s="41"/>
      <c r="AY46" s="10"/>
      <c r="AZ46" s="10"/>
      <c r="BA46" s="41"/>
      <c r="BB46" s="41"/>
      <c r="BC46" s="41"/>
      <c r="BD46" s="41"/>
      <c r="BE46" s="41"/>
      <c r="BF46" s="41"/>
      <c r="BG46" s="41"/>
      <c r="BH46" s="41"/>
      <c r="BI46" s="301"/>
      <c r="BJ46" s="301"/>
    </row>
    <row r="47" spans="2:62" ht="18" customHeight="1" x14ac:dyDescent="0.4">
      <c r="B47" s="340" t="s">
        <v>80</v>
      </c>
      <c r="C47" s="341"/>
      <c r="D47" s="26">
        <f>(D42)*1000/$D$46</f>
        <v>11.728796892135847</v>
      </c>
      <c r="E47" s="26">
        <f>(E42)*1000/$E$46</f>
        <v>11.361630099715828</v>
      </c>
      <c r="F47" s="35"/>
      <c r="G47" s="333"/>
      <c r="L47" s="301"/>
      <c r="M47" s="440"/>
      <c r="N47" s="258"/>
      <c r="O47" s="334"/>
      <c r="P47" s="334"/>
      <c r="Q47" s="438"/>
      <c r="R47" s="334"/>
      <c r="U47" s="334"/>
      <c r="V47" s="438"/>
      <c r="W47" s="334"/>
      <c r="X47" s="334"/>
      <c r="Y47" s="343"/>
      <c r="Z47" s="343"/>
      <c r="AA47" s="343"/>
      <c r="AB47" s="343"/>
      <c r="AC47" s="343"/>
      <c r="AD47" s="381"/>
      <c r="AE47" s="381"/>
      <c r="AF47" s="381"/>
      <c r="AG47" s="8"/>
      <c r="AH47" s="8"/>
      <c r="AI47" s="334"/>
      <c r="AJ47" s="334"/>
      <c r="AK47" s="438"/>
      <c r="AL47" s="334"/>
      <c r="AM47" s="334"/>
      <c r="AN47" s="438"/>
      <c r="AO47" s="334"/>
      <c r="AP47" s="334"/>
      <c r="AQ47" s="334"/>
      <c r="AR47" s="334"/>
      <c r="AS47" s="41"/>
      <c r="AT47" s="41"/>
      <c r="AU47" s="41"/>
      <c r="AV47" s="41"/>
      <c r="AW47" s="10"/>
      <c r="AX47" s="41"/>
      <c r="AY47" s="10"/>
      <c r="AZ47" s="10"/>
      <c r="BA47" s="41"/>
      <c r="BB47" s="41"/>
      <c r="BC47" s="41"/>
      <c r="BD47" s="41"/>
      <c r="BE47" s="41"/>
      <c r="BF47" s="41"/>
      <c r="BG47" s="41"/>
      <c r="BH47" s="41"/>
      <c r="BI47" s="301"/>
      <c r="BJ47" s="301"/>
    </row>
    <row r="48" spans="2:62" ht="18" customHeight="1" x14ac:dyDescent="0.4">
      <c r="B48" s="340" t="s">
        <v>79</v>
      </c>
      <c r="C48" s="341"/>
      <c r="D48" s="26">
        <f>(D43)*1000/$D$46</f>
        <v>5.8643984460679235</v>
      </c>
      <c r="E48" s="26">
        <f>(E43)*1000/$E$46</f>
        <v>5.6808150498579142</v>
      </c>
      <c r="F48" s="35"/>
      <c r="G48" s="333"/>
      <c r="L48" s="301"/>
      <c r="M48" s="440"/>
      <c r="N48" s="258"/>
      <c r="O48" s="334"/>
      <c r="P48" s="334"/>
      <c r="Q48" s="438"/>
      <c r="R48" s="334"/>
      <c r="U48" s="334"/>
      <c r="V48" s="438"/>
      <c r="W48" s="334"/>
      <c r="X48" s="334"/>
      <c r="Y48" s="444"/>
      <c r="Z48" s="444"/>
      <c r="AA48" s="444"/>
      <c r="AB48" s="444"/>
      <c r="AC48" s="444"/>
      <c r="AD48" s="445"/>
      <c r="AE48" s="445"/>
      <c r="AF48" s="445"/>
      <c r="AG48" s="446"/>
      <c r="AH48" s="446"/>
      <c r="AI48" s="334"/>
      <c r="AJ48" s="334"/>
      <c r="AK48" s="438"/>
      <c r="AL48" s="334"/>
      <c r="AM48" s="334"/>
      <c r="AN48" s="438"/>
      <c r="AO48" s="334"/>
      <c r="AP48" s="334"/>
      <c r="AQ48" s="334"/>
      <c r="AR48" s="334"/>
      <c r="AS48" s="41"/>
      <c r="AT48" s="41"/>
      <c r="AU48" s="41"/>
      <c r="AV48" s="10"/>
      <c r="AW48" s="10"/>
      <c r="AX48" s="41"/>
      <c r="AY48" s="10"/>
      <c r="AZ48" s="10"/>
      <c r="BA48" s="41"/>
      <c r="BB48" s="41"/>
      <c r="BC48" s="41"/>
      <c r="BD48" s="41"/>
      <c r="BE48" s="41"/>
      <c r="BF48" s="41"/>
      <c r="BG48" s="41"/>
      <c r="BH48" s="41"/>
      <c r="BI48" s="301"/>
      <c r="BJ48" s="301"/>
    </row>
    <row r="49" spans="2:75" ht="25" customHeight="1" x14ac:dyDescent="0.3">
      <c r="D49" s="24" t="str">
        <f>IF(D50&gt;=3,"Большая скорость потока!","")</f>
        <v/>
      </c>
      <c r="E49" s="24" t="str">
        <f>IF(E50&gt;=3,"Большая скорость потока!","")</f>
        <v/>
      </c>
      <c r="F49" s="8"/>
      <c r="G49" s="333"/>
      <c r="L49" s="301"/>
      <c r="M49" s="440"/>
      <c r="N49" s="258"/>
      <c r="O49" s="334"/>
      <c r="P49" s="334"/>
      <c r="Q49" s="438"/>
      <c r="R49" s="334"/>
      <c r="U49" s="334"/>
      <c r="V49" s="438"/>
      <c r="W49" s="334"/>
      <c r="X49" s="334"/>
      <c r="Y49" s="447"/>
      <c r="Z49" s="447"/>
      <c r="AA49" s="447"/>
      <c r="AB49" s="447"/>
      <c r="AC49" s="447"/>
      <c r="AD49" s="448"/>
      <c r="AE49" s="448"/>
      <c r="AF49" s="448"/>
      <c r="AG49" s="449"/>
      <c r="AH49" s="449"/>
      <c r="AI49" s="334"/>
      <c r="AJ49" s="334"/>
      <c r="AK49" s="438"/>
      <c r="AL49" s="334"/>
      <c r="AM49" s="334"/>
      <c r="AN49" s="438"/>
      <c r="AO49" s="334"/>
      <c r="AP49" s="334"/>
      <c r="AQ49" s="334"/>
      <c r="AR49" s="334"/>
      <c r="AS49" s="41"/>
      <c r="AT49" s="41"/>
      <c r="AU49" s="41"/>
      <c r="AV49" s="10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301"/>
      <c r="BJ49" s="301"/>
    </row>
    <row r="50" spans="2:75" ht="18" customHeight="1" x14ac:dyDescent="0.4">
      <c r="B50" s="340" t="s">
        <v>24</v>
      </c>
      <c r="C50" s="341"/>
      <c r="D50" s="26">
        <f>M10</f>
        <v>1.6592853350260264</v>
      </c>
      <c r="E50" s="26">
        <f>M23</f>
        <v>1.6073418595123892</v>
      </c>
      <c r="F50" s="8"/>
      <c r="G50" s="329"/>
      <c r="L50" s="301"/>
      <c r="M50" s="440"/>
      <c r="N50" s="258"/>
      <c r="O50" s="334"/>
      <c r="P50" s="334"/>
      <c r="Q50" s="438"/>
      <c r="R50" s="334"/>
      <c r="U50" s="334"/>
      <c r="V50" s="438"/>
      <c r="W50" s="334"/>
      <c r="X50" s="334"/>
      <c r="Y50" s="438"/>
      <c r="Z50" s="438"/>
      <c r="AA50" s="438"/>
      <c r="AB50" s="438"/>
      <c r="AC50" s="438"/>
      <c r="AD50" s="334"/>
      <c r="AE50" s="334"/>
      <c r="AF50" s="334"/>
      <c r="AG50" s="438"/>
      <c r="AH50" s="438"/>
      <c r="AI50" s="334"/>
      <c r="AJ50" s="334"/>
      <c r="AK50" s="438"/>
      <c r="AL50" s="334"/>
      <c r="AM50" s="334"/>
      <c r="AN50" s="438"/>
      <c r="AO50" s="334"/>
      <c r="AP50" s="334"/>
      <c r="AQ50" s="334"/>
      <c r="AR50" s="334"/>
      <c r="AS50" s="41"/>
      <c r="AT50" s="41"/>
      <c r="AU50" s="41"/>
      <c r="AV50" s="10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301"/>
      <c r="BJ50" s="301"/>
    </row>
    <row r="51" spans="2:75" ht="18" customHeight="1" x14ac:dyDescent="0.4">
      <c r="B51" s="340" t="s">
        <v>25</v>
      </c>
      <c r="C51" s="341"/>
      <c r="D51" s="12">
        <f ca="1">AR5</f>
        <v>2.5926333359781664</v>
      </c>
      <c r="E51" s="12">
        <f ca="1">AR18</f>
        <v>2.511471655488108</v>
      </c>
      <c r="F51" s="35"/>
      <c r="G51" s="329"/>
      <c r="L51" s="301"/>
      <c r="M51" s="350"/>
      <c r="N51" s="351"/>
      <c r="O51" s="334"/>
      <c r="P51" s="334"/>
      <c r="Q51" s="334"/>
      <c r="R51" s="334"/>
      <c r="U51" s="334"/>
      <c r="V51" s="334"/>
      <c r="W51" s="334"/>
      <c r="X51" s="334"/>
      <c r="Y51" s="334"/>
      <c r="Z51" s="334"/>
      <c r="AA51" s="334"/>
      <c r="AB51" s="334"/>
      <c r="AC51" s="334"/>
      <c r="AD51" s="334"/>
      <c r="AE51" s="334"/>
      <c r="AF51" s="334"/>
      <c r="AG51" s="334"/>
      <c r="AH51" s="334"/>
      <c r="AI51" s="334"/>
      <c r="AJ51" s="334"/>
      <c r="AK51" s="334"/>
      <c r="AL51" s="334"/>
      <c r="AM51" s="334"/>
      <c r="AN51" s="334"/>
      <c r="AO51" s="334"/>
      <c r="AP51" s="334"/>
      <c r="AQ51" s="334"/>
      <c r="AR51" s="334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301"/>
      <c r="BJ51" s="301"/>
    </row>
    <row r="52" spans="2:75" ht="18" customHeight="1" x14ac:dyDescent="0.3">
      <c r="B52" s="340" t="s">
        <v>26</v>
      </c>
      <c r="C52" s="341"/>
      <c r="D52" s="12">
        <f ca="1">AR6</f>
        <v>8.4778400535090087E-2</v>
      </c>
      <c r="E52" s="12">
        <f ca="1">AR19</f>
        <v>7.9553552699047278E-2</v>
      </c>
      <c r="F52" s="8"/>
      <c r="G52" s="8"/>
      <c r="L52" s="301"/>
      <c r="M52" s="259"/>
      <c r="N52" s="345"/>
      <c r="O52" s="258"/>
      <c r="P52" s="41"/>
      <c r="Q52" s="41"/>
      <c r="R52" s="41"/>
      <c r="U52" s="41"/>
      <c r="V52" s="41"/>
      <c r="W52" s="41"/>
      <c r="X52" s="41"/>
      <c r="Y52" s="41"/>
      <c r="Z52" s="41"/>
      <c r="AA52" s="41"/>
      <c r="AB52" s="41"/>
      <c r="AC52" s="41"/>
      <c r="AD52" s="450"/>
      <c r="AE52" s="41"/>
      <c r="AF52" s="41"/>
      <c r="AG52" s="41"/>
      <c r="AH52" s="41"/>
      <c r="AI52" s="41"/>
      <c r="AJ52" s="41"/>
      <c r="AK52" s="41"/>
      <c r="AL52" s="258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301"/>
      <c r="BJ52" s="301"/>
    </row>
    <row r="53" spans="2:75" ht="18" customHeight="1" x14ac:dyDescent="0.3">
      <c r="F53" s="8"/>
      <c r="G53" s="8"/>
      <c r="I53" s="7"/>
      <c r="J53" s="301"/>
      <c r="K53" s="301"/>
      <c r="L53" s="301"/>
      <c r="M53" s="346"/>
      <c r="N53" s="345"/>
      <c r="O53" s="258"/>
      <c r="P53" s="41"/>
      <c r="Q53" s="41"/>
      <c r="R53" s="41"/>
      <c r="U53" s="41"/>
      <c r="V53" s="41"/>
      <c r="W53" s="41"/>
      <c r="X53" s="41"/>
      <c r="Y53" s="41"/>
      <c r="Z53" s="41"/>
      <c r="AA53" s="41"/>
      <c r="AB53" s="41"/>
      <c r="AC53" s="41"/>
      <c r="AD53" s="258"/>
      <c r="AE53" s="41"/>
      <c r="AF53" s="41"/>
      <c r="AG53" s="41"/>
      <c r="AH53" s="41"/>
      <c r="AI53" s="41"/>
      <c r="AJ53" s="41"/>
      <c r="AK53" s="41"/>
      <c r="AL53" s="258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301"/>
      <c r="BJ53" s="301"/>
    </row>
    <row r="54" spans="2:75" ht="18" hidden="1" customHeight="1" x14ac:dyDescent="0.3">
      <c r="F54" s="8"/>
      <c r="I54" s="301"/>
      <c r="J54" s="301"/>
      <c r="K54" s="301"/>
      <c r="L54" s="301"/>
      <c r="M54" s="41"/>
      <c r="N54" s="348"/>
      <c r="P54" s="258"/>
      <c r="Q54" s="258"/>
      <c r="R54" s="258"/>
      <c r="U54" s="258"/>
      <c r="V54" s="258"/>
      <c r="W54" s="258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  <c r="AS54" s="258"/>
      <c r="AT54" s="258"/>
      <c r="AU54" s="41"/>
      <c r="AV54" s="41"/>
      <c r="AW54" s="349"/>
      <c r="AX54" s="258"/>
      <c r="AY54" s="258"/>
      <c r="AZ54" s="258"/>
      <c r="BA54" s="258"/>
      <c r="BB54" s="349"/>
      <c r="BC54" s="349"/>
      <c r="BD54" s="258"/>
      <c r="BE54" s="258"/>
      <c r="BF54" s="258"/>
      <c r="BG54" s="258"/>
      <c r="BH54" s="349"/>
      <c r="BI54" s="41"/>
      <c r="BJ54" s="301"/>
    </row>
    <row r="55" spans="2:75" ht="18" hidden="1" customHeight="1" x14ac:dyDescent="0.3">
      <c r="D55" s="451">
        <f ca="1">D52</f>
        <v>8.4778400535090087E-2</v>
      </c>
      <c r="E55" s="451">
        <f ca="1">E52</f>
        <v>7.9553552699047278E-2</v>
      </c>
      <c r="F55" s="8"/>
      <c r="I55" s="301"/>
      <c r="J55" s="301"/>
      <c r="K55" s="301"/>
      <c r="L55" s="301"/>
      <c r="M55" s="350"/>
      <c r="N55" s="37"/>
      <c r="O55" s="18"/>
      <c r="P55" s="18"/>
      <c r="Q55" s="18"/>
      <c r="R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349"/>
      <c r="AV55" s="41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41"/>
      <c r="BJ55" s="301"/>
    </row>
    <row r="56" spans="2:75" ht="18" hidden="1" customHeight="1" x14ac:dyDescent="0.3">
      <c r="F56" s="8"/>
      <c r="I56" s="301"/>
      <c r="J56" s="7"/>
      <c r="K56" s="7"/>
      <c r="L56" s="301"/>
      <c r="M56" s="351"/>
      <c r="N56" s="37"/>
      <c r="O56" s="37"/>
      <c r="P56" s="37"/>
      <c r="Q56" s="37"/>
      <c r="R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18"/>
      <c r="AV56" s="349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41"/>
      <c r="BJ56" s="301"/>
    </row>
    <row r="57" spans="2:75" ht="18" hidden="1" customHeight="1" x14ac:dyDescent="0.3">
      <c r="F57" s="8"/>
      <c r="I57" s="301"/>
      <c r="J57" s="301"/>
      <c r="K57" s="301"/>
      <c r="L57" s="301"/>
      <c r="M57" s="351"/>
      <c r="N57" s="37"/>
      <c r="O57" s="37"/>
      <c r="P57" s="37"/>
      <c r="Q57" s="37"/>
      <c r="R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18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41"/>
      <c r="BJ57" s="301"/>
    </row>
    <row r="58" spans="2:75" ht="18" hidden="1" customHeight="1" x14ac:dyDescent="0.3">
      <c r="F58" s="8"/>
      <c r="I58" s="301"/>
      <c r="J58" s="301"/>
      <c r="K58" s="301"/>
      <c r="L58" s="301"/>
      <c r="M58" s="351"/>
      <c r="N58" s="38"/>
      <c r="O58" s="7"/>
      <c r="P58" s="7"/>
      <c r="Q58" s="7"/>
      <c r="R58" s="7"/>
      <c r="S58" s="18"/>
      <c r="T58" s="18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37"/>
      <c r="AV58" s="3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41"/>
      <c r="BJ58" s="301"/>
    </row>
    <row r="59" spans="2:75" ht="18" hidden="1" customHeight="1" x14ac:dyDescent="0.3">
      <c r="F59" s="8"/>
      <c r="I59" s="301"/>
      <c r="J59" s="301"/>
      <c r="K59" s="301"/>
      <c r="L59" s="301"/>
      <c r="M59" s="350"/>
      <c r="N59" s="37"/>
      <c r="O59" s="39"/>
      <c r="P59" s="39"/>
      <c r="Q59" s="39"/>
      <c r="R59" s="39"/>
      <c r="S59" s="22"/>
      <c r="T59" s="22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7"/>
      <c r="AV59" s="37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41"/>
      <c r="BJ59" s="301"/>
      <c r="BU59" s="8"/>
      <c r="BV59" s="8"/>
      <c r="BW59" s="8"/>
    </row>
    <row r="60" spans="2:75" ht="18" hidden="1" customHeight="1" x14ac:dyDescent="0.3">
      <c r="B60" s="6" t="s">
        <v>19</v>
      </c>
      <c r="D60" s="23">
        <f>0.00000178/(1+0.0337*$D$45+0.000221*$D$45^2)</f>
        <v>2.2825707132071719E-7</v>
      </c>
      <c r="E60" s="23">
        <f>0.00000178/(1+0.0337*$E$45+0.000221*$E$45^2)</f>
        <v>4.0072941759157111E-7</v>
      </c>
      <c r="H60" s="7"/>
      <c r="I60" s="301"/>
      <c r="J60" s="301"/>
      <c r="K60" s="301"/>
      <c r="L60" s="301"/>
      <c r="M60" s="258"/>
      <c r="N60" s="37"/>
      <c r="O60" s="18"/>
      <c r="P60" s="18"/>
      <c r="Q60" s="18"/>
      <c r="R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39"/>
      <c r="AV60" s="7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41"/>
      <c r="BJ60" s="301"/>
      <c r="BU60" s="417"/>
      <c r="BV60" s="8"/>
      <c r="BW60" s="8"/>
    </row>
    <row r="61" spans="2:75" ht="18" hidden="1" customHeight="1" x14ac:dyDescent="0.45">
      <c r="G61" s="7"/>
      <c r="I61" s="452" t="s">
        <v>124</v>
      </c>
      <c r="J61" s="452"/>
      <c r="K61" s="452" t="s">
        <v>179</v>
      </c>
      <c r="L61" s="453"/>
      <c r="M61" s="353"/>
      <c r="N61" s="38"/>
      <c r="O61" s="18"/>
      <c r="P61" s="18"/>
      <c r="Q61" s="18"/>
      <c r="R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39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41"/>
      <c r="BJ61" s="301"/>
      <c r="BU61" s="8"/>
      <c r="BV61" s="8"/>
      <c r="BW61" s="8"/>
    </row>
    <row r="62" spans="2:75" ht="15.9" hidden="1" x14ac:dyDescent="0.45">
      <c r="D62" s="354" t="str">
        <f>"Тр1 DN"&amp;D32</f>
        <v>Тр1 DN50</v>
      </c>
      <c r="E62" s="354" t="str">
        <f>"Тр2 DN"&amp;E32</f>
        <v>Тр2 DN50</v>
      </c>
      <c r="I62" s="452" t="s">
        <v>125</v>
      </c>
      <c r="J62" s="452"/>
      <c r="K62" s="452" t="s">
        <v>179</v>
      </c>
      <c r="L62" s="453"/>
      <c r="M62" s="41"/>
      <c r="N62" s="40"/>
      <c r="O62" s="21"/>
      <c r="P62" s="21"/>
      <c r="Q62" s="21"/>
      <c r="R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18"/>
      <c r="AV62" s="18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41"/>
      <c r="BJ62" s="301"/>
      <c r="BU62" s="8"/>
      <c r="BV62" s="417"/>
      <c r="BW62" s="417"/>
    </row>
    <row r="63" spans="2:75" ht="15.9" hidden="1" x14ac:dyDescent="0.45">
      <c r="D63" s="354"/>
      <c r="E63" s="354"/>
      <c r="I63" s="452" t="s">
        <v>126</v>
      </c>
      <c r="J63" s="452"/>
      <c r="K63" s="452" t="s">
        <v>180</v>
      </c>
      <c r="L63" s="453"/>
      <c r="M63" s="41"/>
      <c r="N63" s="40"/>
      <c r="O63" s="18"/>
      <c r="P63" s="18"/>
      <c r="Q63" s="18"/>
      <c r="R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21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41"/>
      <c r="BJ63" s="301"/>
      <c r="BU63" s="8"/>
      <c r="BV63" s="8"/>
      <c r="BW63" s="8"/>
    </row>
    <row r="64" spans="2:75" ht="15.9" hidden="1" x14ac:dyDescent="0.45">
      <c r="D64" s="355"/>
      <c r="E64" s="354"/>
      <c r="I64" s="452" t="s">
        <v>127</v>
      </c>
      <c r="J64" s="452"/>
      <c r="K64" s="452" t="s">
        <v>181</v>
      </c>
      <c r="L64" s="453"/>
      <c r="M64" s="41"/>
      <c r="N64" s="37"/>
      <c r="O64" s="22"/>
      <c r="P64" s="22"/>
      <c r="Q64" s="22"/>
      <c r="R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18"/>
      <c r="AV64" s="21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41"/>
      <c r="BJ64" s="301"/>
      <c r="BU64" s="8"/>
      <c r="BV64" s="8"/>
      <c r="BW64" s="8"/>
    </row>
    <row r="65" spans="2:60" ht="15.9" hidden="1" x14ac:dyDescent="0.45">
      <c r="D65" s="355"/>
      <c r="E65" s="354"/>
      <c r="I65" s="452" t="s">
        <v>128</v>
      </c>
      <c r="J65" s="452"/>
      <c r="K65" s="452" t="s">
        <v>182</v>
      </c>
      <c r="L65" s="452"/>
      <c r="M65" s="8"/>
      <c r="N65" s="20"/>
      <c r="O65" s="18"/>
      <c r="P65" s="18"/>
      <c r="Q65" s="18"/>
      <c r="R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22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8"/>
    </row>
    <row r="66" spans="2:60" ht="15.9" hidden="1" x14ac:dyDescent="0.45">
      <c r="D66" s="354"/>
      <c r="E66" s="354"/>
      <c r="G66" s="454"/>
      <c r="I66" s="452" t="s">
        <v>129</v>
      </c>
      <c r="J66" s="452"/>
      <c r="K66" s="452" t="s">
        <v>183</v>
      </c>
      <c r="L66" s="455"/>
      <c r="M66" s="456"/>
      <c r="N66" s="456"/>
      <c r="O66" s="457"/>
      <c r="P66" s="456"/>
      <c r="Q66" s="457"/>
      <c r="R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18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8"/>
    </row>
    <row r="67" spans="2:60" ht="15.9" hidden="1" x14ac:dyDescent="0.45">
      <c r="D67" s="87" t="s">
        <v>140</v>
      </c>
      <c r="E67" s="87" t="s">
        <v>152</v>
      </c>
      <c r="G67" s="454"/>
      <c r="I67" s="452" t="s">
        <v>130</v>
      </c>
      <c r="J67" s="452"/>
      <c r="K67" s="452" t="s">
        <v>184</v>
      </c>
      <c r="L67" s="458"/>
      <c r="M67" s="459"/>
      <c r="N67" s="454"/>
      <c r="O67" s="460"/>
      <c r="P67" s="454"/>
      <c r="Q67" s="461"/>
      <c r="AU67" s="22"/>
      <c r="AV67" s="18"/>
    </row>
    <row r="68" spans="2:60" ht="15.9" hidden="1" x14ac:dyDescent="0.45">
      <c r="C68" s="357" t="s">
        <v>146</v>
      </c>
      <c r="D68" s="358">
        <f>D45+273.15</f>
        <v>388.15</v>
      </c>
      <c r="E68" s="358">
        <f>E45+273.15</f>
        <v>343.15</v>
      </c>
      <c r="G68" s="454"/>
      <c r="I68" s="452" t="s">
        <v>131</v>
      </c>
      <c r="J68" s="452"/>
      <c r="K68" s="452" t="s">
        <v>185</v>
      </c>
      <c r="L68" s="458"/>
      <c r="M68" s="459"/>
      <c r="N68" s="454"/>
      <c r="O68" s="460"/>
      <c r="P68" s="454"/>
      <c r="Q68" s="461"/>
      <c r="S68" s="8"/>
      <c r="T68" s="8"/>
      <c r="AV68" s="22"/>
    </row>
    <row r="69" spans="2:60" ht="15.9" hidden="1" x14ac:dyDescent="0.45">
      <c r="C69" s="357" t="s">
        <v>147</v>
      </c>
      <c r="D69" s="357">
        <f>D33*0.0980665</f>
        <v>0.68646549999999995</v>
      </c>
      <c r="E69" s="357">
        <f>E33*0.0980665</f>
        <v>0.4903325</v>
      </c>
      <c r="G69" s="454"/>
      <c r="I69" s="452" t="s">
        <v>132</v>
      </c>
      <c r="J69" s="452"/>
      <c r="K69" s="452" t="s">
        <v>186</v>
      </c>
      <c r="L69" s="458"/>
      <c r="M69" s="459"/>
      <c r="N69" s="454"/>
      <c r="O69" s="460"/>
      <c r="P69" s="454"/>
      <c r="Q69" s="461"/>
      <c r="S69" s="8"/>
      <c r="T69" s="8"/>
      <c r="AQ69" s="258"/>
      <c r="AR69" s="258"/>
      <c r="AS69" s="258"/>
      <c r="AT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</row>
    <row r="70" spans="2:60" ht="15.9" hidden="1" x14ac:dyDescent="0.45">
      <c r="C70" s="361" t="s">
        <v>148</v>
      </c>
      <c r="D70" s="357">
        <f>1386/D68</f>
        <v>3.5707844905320112</v>
      </c>
      <c r="E70" s="357">
        <f>1386/E68</f>
        <v>4.0390499781436695</v>
      </c>
      <c r="G70" s="454"/>
      <c r="I70" s="452" t="s">
        <v>133</v>
      </c>
      <c r="J70" s="452"/>
      <c r="K70" s="452" t="s">
        <v>187</v>
      </c>
      <c r="L70" s="458"/>
      <c r="M70" s="459"/>
      <c r="N70" s="454"/>
      <c r="O70" s="460"/>
      <c r="P70" s="454"/>
      <c r="Q70" s="461"/>
      <c r="S70" s="8"/>
      <c r="T70" s="8"/>
      <c r="AQ70" s="343"/>
      <c r="AR70" s="343"/>
      <c r="AS70" s="343"/>
      <c r="AT70" s="343"/>
      <c r="AU70" s="258"/>
      <c r="AW70" s="343"/>
      <c r="AX70" s="343"/>
      <c r="AY70" s="343"/>
      <c r="AZ70" s="343"/>
      <c r="BA70" s="343"/>
      <c r="BB70" s="343"/>
      <c r="BC70" s="343"/>
      <c r="BD70" s="343"/>
      <c r="BE70" s="343"/>
      <c r="BF70" s="343"/>
      <c r="BG70" s="343"/>
    </row>
    <row r="71" spans="2:60" ht="15.9" hidden="1" x14ac:dyDescent="0.45">
      <c r="C71" s="361" t="s">
        <v>149</v>
      </c>
      <c r="D71" s="357">
        <f>D69/16.53</f>
        <v>4.1528463399879E-2</v>
      </c>
      <c r="E71" s="357">
        <f>E69/16.53</f>
        <v>2.9663188142770719E-2</v>
      </c>
      <c r="G71" s="454"/>
      <c r="I71" s="452" t="s">
        <v>134</v>
      </c>
      <c r="J71" s="452"/>
      <c r="K71" s="452" t="s">
        <v>188</v>
      </c>
      <c r="L71" s="458"/>
      <c r="M71" s="459"/>
      <c r="N71" s="454"/>
      <c r="O71" s="460"/>
      <c r="P71" s="454"/>
      <c r="Q71" s="461"/>
      <c r="S71" s="8"/>
      <c r="T71" s="8"/>
      <c r="AU71" s="343"/>
      <c r="AV71" s="258"/>
    </row>
    <row r="72" spans="2:60" hidden="1" x14ac:dyDescent="0.3">
      <c r="C72" s="366" t="s">
        <v>150</v>
      </c>
      <c r="D72" s="366">
        <f>D71*AC123*Z123*D68/D69</f>
        <v>1.0555917202922263</v>
      </c>
      <c r="E72" s="366">
        <f>E71*AD123*Z123*E68/E69</f>
        <v>1.0225467089744245</v>
      </c>
      <c r="G72" s="454"/>
      <c r="I72" s="460"/>
      <c r="J72" s="460"/>
      <c r="K72" s="461"/>
      <c r="L72" s="454"/>
      <c r="M72" s="459"/>
      <c r="N72" s="454"/>
      <c r="O72" s="460"/>
      <c r="P72" s="454"/>
      <c r="Q72" s="461"/>
      <c r="S72" s="8"/>
      <c r="T72" s="8"/>
      <c r="AV72" s="343"/>
    </row>
    <row r="73" spans="2:60" ht="15.45" hidden="1" x14ac:dyDescent="0.4">
      <c r="C73" s="88"/>
      <c r="D73" s="368">
        <f>1/D72*1000</f>
        <v>947.33596406304093</v>
      </c>
      <c r="E73" s="368">
        <f>1/E72*1000</f>
        <v>977.95043612527195</v>
      </c>
      <c r="G73" s="454"/>
      <c r="I73" s="460"/>
      <c r="J73" s="460"/>
      <c r="K73" s="461"/>
      <c r="L73" s="454"/>
      <c r="M73" s="459"/>
      <c r="N73" s="454"/>
      <c r="O73" s="460"/>
      <c r="P73" s="454"/>
      <c r="Q73" s="461"/>
      <c r="S73" s="8"/>
      <c r="T73" s="8"/>
    </row>
    <row r="74" spans="2:60" hidden="1" x14ac:dyDescent="0.3">
      <c r="D74" s="354"/>
      <c r="E74" s="354"/>
      <c r="G74" s="454"/>
      <c r="I74" s="460"/>
      <c r="J74" s="460"/>
      <c r="K74" s="461"/>
      <c r="L74" s="454"/>
      <c r="M74" s="459"/>
      <c r="N74" s="454"/>
      <c r="O74" s="460"/>
      <c r="P74" s="454"/>
      <c r="Q74" s="461"/>
      <c r="S74" s="8"/>
      <c r="T74" s="8"/>
    </row>
    <row r="75" spans="2:60" ht="12.9" hidden="1" thickBot="1" x14ac:dyDescent="0.35">
      <c r="D75" s="354"/>
      <c r="E75" s="354"/>
      <c r="G75" s="454"/>
      <c r="I75" s="460"/>
      <c r="J75" s="460"/>
      <c r="K75" s="461"/>
      <c r="L75" s="454"/>
      <c r="M75" s="459"/>
      <c r="N75" s="454"/>
      <c r="O75" s="460"/>
      <c r="P75" s="454"/>
      <c r="Q75" s="461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:60" ht="20.149999999999999" hidden="1" thickBot="1" x14ac:dyDescent="0.5">
      <c r="B76" s="462" t="s">
        <v>127</v>
      </c>
      <c r="D76" s="463" t="s">
        <v>132</v>
      </c>
      <c r="E76" s="354"/>
      <c r="G76" s="454"/>
      <c r="I76" s="460"/>
      <c r="J76" s="460"/>
      <c r="K76" s="461"/>
      <c r="L76" s="454"/>
      <c r="M76" s="459"/>
      <c r="N76" s="454"/>
      <c r="O76" s="460"/>
      <c r="P76" s="454"/>
      <c r="Q76" s="461"/>
      <c r="X76" s="8"/>
      <c r="Y76" s="8"/>
      <c r="Z76" s="8"/>
      <c r="AA76" s="8"/>
      <c r="AB76" s="8"/>
      <c r="AC76" s="8"/>
      <c r="AD76" s="464"/>
      <c r="AI76" s="8"/>
      <c r="AJ76" s="8"/>
      <c r="AK76" s="8"/>
      <c r="AL76" s="8"/>
      <c r="AM76" s="8"/>
    </row>
    <row r="77" spans="2:60" hidden="1" x14ac:dyDescent="0.3">
      <c r="D77" s="354"/>
      <c r="E77" s="354"/>
      <c r="G77" s="459"/>
      <c r="I77" s="460"/>
      <c r="J77" s="460"/>
      <c r="K77" s="461"/>
      <c r="L77" s="454"/>
      <c r="M77" s="459"/>
      <c r="N77" s="454"/>
      <c r="O77" s="460"/>
      <c r="P77" s="454"/>
      <c r="Q77" s="461"/>
      <c r="X77" s="8"/>
      <c r="Y77" s="8"/>
      <c r="Z77" s="8"/>
      <c r="AA77" s="8"/>
      <c r="AB77" s="8"/>
      <c r="AC77" s="8"/>
      <c r="AD77" s="8"/>
      <c r="AI77" s="8"/>
      <c r="AJ77" s="8"/>
      <c r="AK77" s="8"/>
      <c r="AL77" s="8"/>
      <c r="AM77" s="8"/>
    </row>
    <row r="78" spans="2:60" hidden="1" x14ac:dyDescent="0.3">
      <c r="D78" s="354"/>
      <c r="E78" s="354"/>
      <c r="G78" s="459"/>
      <c r="H78" s="460"/>
      <c r="I78" s="460"/>
      <c r="J78" s="460"/>
      <c r="K78" s="461"/>
      <c r="L78" s="454"/>
      <c r="M78" s="459"/>
      <c r="N78" s="454"/>
      <c r="O78" s="460"/>
      <c r="P78" s="454"/>
      <c r="Q78" s="461"/>
      <c r="X78" s="8"/>
      <c r="Y78" s="8"/>
      <c r="Z78" s="8"/>
      <c r="AA78" s="8"/>
      <c r="AB78" s="8"/>
      <c r="AC78" s="8"/>
      <c r="AD78" s="8"/>
      <c r="AI78" s="8"/>
      <c r="AJ78" s="8"/>
      <c r="AK78" s="8"/>
      <c r="AL78" s="8"/>
      <c r="AM78" s="8"/>
    </row>
    <row r="79" spans="2:60" hidden="1" x14ac:dyDescent="0.3">
      <c r="B79" s="465" t="s">
        <v>50</v>
      </c>
      <c r="C79" s="465"/>
      <c r="D79" s="465"/>
      <c r="F79" s="454"/>
      <c r="G79" s="454"/>
      <c r="H79" s="460"/>
      <c r="I79" s="460"/>
      <c r="J79" s="460"/>
      <c r="K79" s="460"/>
      <c r="L79" s="454"/>
      <c r="M79" s="454"/>
      <c r="N79" s="454"/>
      <c r="O79" s="460"/>
      <c r="P79" s="454"/>
      <c r="Q79" s="460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I79" s="8"/>
      <c r="AJ79" s="8"/>
      <c r="AK79" s="8"/>
      <c r="AL79" s="8"/>
      <c r="AM79" s="8"/>
    </row>
    <row r="80" spans="2:60" ht="12.9" hidden="1" thickBot="1" x14ac:dyDescent="0.35">
      <c r="B80" s="466" t="s">
        <v>38</v>
      </c>
      <c r="C80" s="466" t="s">
        <v>39</v>
      </c>
      <c r="D80" s="466" t="s">
        <v>40</v>
      </c>
      <c r="E80" s="466" t="s">
        <v>45</v>
      </c>
      <c r="F80" s="454"/>
      <c r="G80" s="460"/>
      <c r="H80" s="460"/>
      <c r="I80" s="460"/>
      <c r="J80" s="460"/>
      <c r="K80" s="454"/>
      <c r="L80" s="454"/>
      <c r="M80" s="454"/>
      <c r="N80" s="454"/>
      <c r="O80" s="460"/>
      <c r="P80" s="454"/>
      <c r="Q80" s="460"/>
      <c r="R80" s="8"/>
      <c r="S80" s="467"/>
      <c r="T80" s="467"/>
      <c r="U80" s="8"/>
      <c r="V80" s="8"/>
      <c r="W80" s="8"/>
      <c r="X80" s="8"/>
      <c r="Y80" s="8"/>
      <c r="Z80" s="8"/>
      <c r="AA80" s="8"/>
      <c r="AB80" s="8"/>
      <c r="AC80" s="8"/>
      <c r="AD80" s="8"/>
      <c r="AI80" s="8"/>
      <c r="AJ80" s="8"/>
      <c r="AK80" s="8"/>
      <c r="AL80" s="8"/>
    </row>
    <row r="81" spans="2:54" hidden="1" x14ac:dyDescent="0.3">
      <c r="B81" s="468" t="s">
        <v>32</v>
      </c>
      <c r="C81" s="469">
        <v>150</v>
      </c>
      <c r="D81" s="470">
        <f t="shared" ref="D81:D94" si="54">C81-E81</f>
        <v>80</v>
      </c>
      <c r="E81" s="471">
        <v>70</v>
      </c>
      <c r="G81" s="460"/>
      <c r="H81" s="460"/>
      <c r="I81" s="460"/>
      <c r="J81" s="460"/>
      <c r="K81" s="259"/>
      <c r="L81" s="454"/>
      <c r="M81" s="454"/>
      <c r="N81" s="460"/>
      <c r="O81" s="454"/>
      <c r="P81" s="460"/>
      <c r="R81" s="259"/>
      <c r="S81" s="259"/>
      <c r="T81" s="8"/>
      <c r="U81" s="8"/>
      <c r="V81" s="8"/>
      <c r="W81" s="8"/>
      <c r="X81" s="8"/>
      <c r="Y81" s="8"/>
      <c r="Z81" s="8"/>
      <c r="AA81" s="8"/>
      <c r="AB81" s="8"/>
      <c r="AC81" s="8"/>
      <c r="AG81" s="8"/>
      <c r="AH81" s="8"/>
      <c r="AI81" s="8"/>
      <c r="AJ81" s="8"/>
      <c r="AK81" s="8"/>
      <c r="AL81" s="8"/>
      <c r="AQ81" s="8"/>
      <c r="AR81" s="8"/>
    </row>
    <row r="82" spans="2:54" ht="12.9" hidden="1" thickBot="1" x14ac:dyDescent="0.35">
      <c r="B82" s="472" t="s">
        <v>33</v>
      </c>
      <c r="C82" s="473">
        <v>150</v>
      </c>
      <c r="D82" s="474">
        <f t="shared" si="54"/>
        <v>75</v>
      </c>
      <c r="E82" s="475">
        <v>75</v>
      </c>
      <c r="I82" s="8"/>
      <c r="J82" s="259"/>
      <c r="K82" s="25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AQ82" s="8"/>
      <c r="AR82" s="8"/>
    </row>
    <row r="83" spans="2:54" ht="12.9" hidden="1" thickBot="1" x14ac:dyDescent="0.35">
      <c r="B83" s="472" t="s">
        <v>36</v>
      </c>
      <c r="C83" s="473">
        <v>130</v>
      </c>
      <c r="D83" s="474">
        <f t="shared" si="54"/>
        <v>60</v>
      </c>
      <c r="E83" s="475">
        <v>70</v>
      </c>
      <c r="I83" s="476" t="s">
        <v>126</v>
      </c>
      <c r="J83" s="259"/>
      <c r="K83" s="259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AQ83" s="8"/>
      <c r="AR83" s="8"/>
    </row>
    <row r="84" spans="2:54" ht="12.9" hidden="1" thickBot="1" x14ac:dyDescent="0.35">
      <c r="B84" s="472" t="s">
        <v>234</v>
      </c>
      <c r="C84" s="473">
        <v>135</v>
      </c>
      <c r="D84" s="474">
        <v>65</v>
      </c>
      <c r="E84" s="475">
        <v>70</v>
      </c>
      <c r="I84" s="477" t="s">
        <v>130</v>
      </c>
      <c r="J84" s="259"/>
      <c r="K84" s="259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2:54" hidden="1" x14ac:dyDescent="0.3">
      <c r="B85" s="472" t="s">
        <v>165</v>
      </c>
      <c r="C85" s="473">
        <v>125</v>
      </c>
      <c r="D85" s="474">
        <v>55</v>
      </c>
      <c r="E85" s="475">
        <v>70</v>
      </c>
      <c r="K85" s="259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2:54" ht="15.45" hidden="1" thickBot="1" x14ac:dyDescent="0.4">
      <c r="B86" s="472" t="s">
        <v>89</v>
      </c>
      <c r="C86" s="473">
        <v>120</v>
      </c>
      <c r="D86" s="474">
        <f t="shared" si="54"/>
        <v>60</v>
      </c>
      <c r="E86" s="475">
        <v>60</v>
      </c>
      <c r="H86" s="809" t="s">
        <v>91</v>
      </c>
      <c r="I86" s="809"/>
      <c r="J86" s="259"/>
      <c r="K86" s="8"/>
      <c r="L86" s="8"/>
      <c r="M86" s="8"/>
      <c r="N86" s="8"/>
      <c r="O86" s="8"/>
      <c r="P86" s="8"/>
      <c r="Q86" s="316"/>
      <c r="R86" s="478"/>
      <c r="S86" s="8"/>
    </row>
    <row r="87" spans="2:54" ht="25.3" hidden="1" thickBot="1" x14ac:dyDescent="0.45">
      <c r="B87" s="472" t="s">
        <v>37</v>
      </c>
      <c r="C87" s="473">
        <v>115</v>
      </c>
      <c r="D87" s="474">
        <f t="shared" si="54"/>
        <v>45</v>
      </c>
      <c r="E87" s="475">
        <v>70</v>
      </c>
      <c r="H87" s="479" t="s">
        <v>410</v>
      </c>
      <c r="I87" s="480" t="s">
        <v>98</v>
      </c>
      <c r="J87" s="480" t="s">
        <v>92</v>
      </c>
      <c r="K87" s="480" t="s">
        <v>94</v>
      </c>
      <c r="L87" s="480" t="s">
        <v>93</v>
      </c>
      <c r="M87" s="480" t="s">
        <v>408</v>
      </c>
      <c r="N87" s="481" t="s">
        <v>2</v>
      </c>
      <c r="O87" s="482" t="s">
        <v>108</v>
      </c>
      <c r="P87" s="316"/>
      <c r="Q87" s="483" t="s">
        <v>309</v>
      </c>
      <c r="R87" s="484"/>
      <c r="S87" s="485"/>
      <c r="AG87" s="479" t="s">
        <v>410</v>
      </c>
      <c r="AH87" s="480" t="s">
        <v>98</v>
      </c>
      <c r="AI87" s="480" t="s">
        <v>92</v>
      </c>
      <c r="AJ87" s="480" t="s">
        <v>94</v>
      </c>
      <c r="AK87" s="480" t="s">
        <v>93</v>
      </c>
      <c r="AL87" s="480" t="s">
        <v>408</v>
      </c>
      <c r="AM87" s="481" t="s">
        <v>2</v>
      </c>
      <c r="AN87" s="482" t="s">
        <v>108</v>
      </c>
      <c r="AP87" s="479" t="s">
        <v>410</v>
      </c>
      <c r="AQ87" s="480" t="s">
        <v>98</v>
      </c>
      <c r="AR87" s="480" t="s">
        <v>92</v>
      </c>
      <c r="AS87" s="480" t="s">
        <v>94</v>
      </c>
      <c r="AT87" s="480" t="s">
        <v>93</v>
      </c>
      <c r="AU87" s="480" t="s">
        <v>408</v>
      </c>
      <c r="AV87" s="481" t="s">
        <v>2</v>
      </c>
      <c r="AW87" s="482" t="s">
        <v>108</v>
      </c>
      <c r="AY87" s="99" t="s">
        <v>1</v>
      </c>
      <c r="AZ87" s="100" t="s">
        <v>413</v>
      </c>
      <c r="BA87" s="100" t="s">
        <v>202</v>
      </c>
      <c r="BB87" s="100" t="s">
        <v>203</v>
      </c>
    </row>
    <row r="88" spans="2:54" ht="17.600000000000001" hidden="1" thickBot="1" x14ac:dyDescent="0.55000000000000004">
      <c r="B88" s="472" t="s">
        <v>166</v>
      </c>
      <c r="C88" s="473">
        <v>110</v>
      </c>
      <c r="D88" s="474">
        <v>40</v>
      </c>
      <c r="E88" s="475">
        <v>70</v>
      </c>
      <c r="G88" s="486">
        <v>1</v>
      </c>
      <c r="H88" s="487">
        <v>15</v>
      </c>
      <c r="I88" s="488">
        <v>1</v>
      </c>
      <c r="J88" s="489" t="s">
        <v>295</v>
      </c>
      <c r="K88" s="490" t="s">
        <v>96</v>
      </c>
      <c r="L88" s="491" t="s">
        <v>446</v>
      </c>
      <c r="M88" s="492">
        <v>15</v>
      </c>
      <c r="N88" s="492">
        <v>0</v>
      </c>
      <c r="O88" s="493">
        <v>90</v>
      </c>
      <c r="P88" s="258"/>
      <c r="Q88" s="494" t="s">
        <v>99</v>
      </c>
      <c r="R88" s="484"/>
      <c r="S88" s="258"/>
      <c r="W88" s="370" t="s">
        <v>141</v>
      </c>
      <c r="X88" s="370" t="s">
        <v>142</v>
      </c>
      <c r="Y88" s="370" t="s">
        <v>143</v>
      </c>
      <c r="Z88" s="371" t="s">
        <v>144</v>
      </c>
      <c r="AA88" s="372"/>
      <c r="AB88" s="372"/>
      <c r="AC88" s="373" t="s">
        <v>145</v>
      </c>
      <c r="AD88" s="373" t="s">
        <v>145</v>
      </c>
      <c r="AG88" s="487">
        <v>20</v>
      </c>
      <c r="AH88" s="488">
        <v>2</v>
      </c>
      <c r="AI88" s="495" t="s">
        <v>215</v>
      </c>
      <c r="AJ88" s="496" t="s">
        <v>95</v>
      </c>
      <c r="AK88" s="497" t="s">
        <v>3</v>
      </c>
      <c r="AL88" s="498">
        <v>20</v>
      </c>
      <c r="AM88" s="498">
        <v>0</v>
      </c>
      <c r="AN88" s="499">
        <v>111</v>
      </c>
      <c r="AP88" s="487">
        <v>20</v>
      </c>
      <c r="AQ88" s="488">
        <v>2</v>
      </c>
      <c r="AR88" s="495" t="s">
        <v>295</v>
      </c>
      <c r="AS88" s="500" t="s">
        <v>96</v>
      </c>
      <c r="AT88" s="501" t="s">
        <v>297</v>
      </c>
      <c r="AU88" s="498">
        <v>15</v>
      </c>
      <c r="AV88" s="498" t="s">
        <v>313</v>
      </c>
      <c r="AW88" s="499">
        <f>IF($AP$88&gt;AU88,(AU88*4)+$V$138,$V$138)</f>
        <v>150</v>
      </c>
      <c r="AY88" s="101" t="s">
        <v>294</v>
      </c>
      <c r="AZ88" s="102">
        <v>15</v>
      </c>
      <c r="BA88" s="116">
        <v>8.5702875000000008E-3</v>
      </c>
      <c r="BB88" s="102">
        <v>90</v>
      </c>
    </row>
    <row r="89" spans="2:54" ht="16.3" hidden="1" thickBot="1" x14ac:dyDescent="0.5">
      <c r="B89" s="472" t="s">
        <v>163</v>
      </c>
      <c r="C89" s="473">
        <v>115</v>
      </c>
      <c r="D89" s="474">
        <f t="shared" si="54"/>
        <v>50</v>
      </c>
      <c r="E89" s="475">
        <v>65</v>
      </c>
      <c r="G89" s="502">
        <v>2</v>
      </c>
      <c r="H89" s="487">
        <v>20</v>
      </c>
      <c r="I89" s="488">
        <v>2</v>
      </c>
      <c r="J89" s="489" t="s">
        <v>295</v>
      </c>
      <c r="K89" s="490" t="s">
        <v>96</v>
      </c>
      <c r="L89" s="491" t="s">
        <v>297</v>
      </c>
      <c r="M89" s="492">
        <v>15</v>
      </c>
      <c r="N89" s="492" t="s">
        <v>313</v>
      </c>
      <c r="O89" s="493">
        <f>IF($AP$88&gt;M89,(M89*4)+$V$138,$V$138)</f>
        <v>150</v>
      </c>
      <c r="P89" s="258"/>
      <c r="Q89" s="494">
        <v>15</v>
      </c>
      <c r="R89" s="484"/>
      <c r="S89" s="258"/>
      <c r="W89" s="357">
        <v>1</v>
      </c>
      <c r="X89" s="357">
        <v>0</v>
      </c>
      <c r="Y89" s="357">
        <v>-2</v>
      </c>
      <c r="Z89" s="374">
        <v>0.14632971213167001</v>
      </c>
      <c r="AA89" s="375"/>
      <c r="AB89" s="375"/>
      <c r="AC89" s="376">
        <f t="shared" ref="AC89:AC122" si="55">-Z89*X89*(7.1-$D$71)^(X89-1)*($D$70-1.222)^Y89</f>
        <v>0</v>
      </c>
      <c r="AD89" s="376">
        <f t="shared" ref="AD89:AD122" si="56">-Z89*X89*(7.1-$E$71)^(X89-1)*($E$70-1.222)^Y89</f>
        <v>0</v>
      </c>
      <c r="AG89" s="503"/>
      <c r="AH89" s="504"/>
      <c r="AI89" s="510" t="s">
        <v>216</v>
      </c>
      <c r="AJ89" s="511" t="s">
        <v>96</v>
      </c>
      <c r="AK89" s="512" t="s">
        <v>3</v>
      </c>
      <c r="AL89" s="513">
        <v>20</v>
      </c>
      <c r="AM89" s="513">
        <v>0</v>
      </c>
      <c r="AN89" s="514">
        <v>111</v>
      </c>
      <c r="AP89" s="503"/>
      <c r="AQ89" s="504"/>
      <c r="AR89" s="515" t="s">
        <v>296</v>
      </c>
      <c r="AS89" s="511" t="s">
        <v>96</v>
      </c>
      <c r="AT89" s="516" t="s">
        <v>3</v>
      </c>
      <c r="AU89" s="513">
        <v>20</v>
      </c>
      <c r="AV89" s="513">
        <v>0</v>
      </c>
      <c r="AW89" s="514">
        <f>IF($AP$88&gt;AU89,(AU89*4)+$V$140,$V$140)</f>
        <v>115</v>
      </c>
      <c r="AY89" s="101" t="s">
        <v>293</v>
      </c>
      <c r="AZ89" s="102">
        <v>15</v>
      </c>
      <c r="BA89" s="116">
        <v>9.1281777777778E-3</v>
      </c>
      <c r="BB89" s="102">
        <v>135</v>
      </c>
    </row>
    <row r="90" spans="2:54" ht="15.9" hidden="1" x14ac:dyDescent="0.45">
      <c r="B90" s="472" t="s">
        <v>59</v>
      </c>
      <c r="C90" s="473">
        <v>105</v>
      </c>
      <c r="D90" s="474">
        <f t="shared" si="54"/>
        <v>35</v>
      </c>
      <c r="E90" s="475">
        <v>70</v>
      </c>
      <c r="G90" s="502"/>
      <c r="H90" s="503"/>
      <c r="I90" s="504"/>
      <c r="J90" s="505" t="s">
        <v>296</v>
      </c>
      <c r="K90" s="506" t="s">
        <v>96</v>
      </c>
      <c r="L90" s="507" t="s">
        <v>3</v>
      </c>
      <c r="M90" s="508">
        <v>20</v>
      </c>
      <c r="N90" s="508">
        <v>0</v>
      </c>
      <c r="O90" s="509">
        <f>IF($AP$88&gt;M90,(M90*4)+$V$140,$V$140)</f>
        <v>115</v>
      </c>
      <c r="P90" s="258"/>
      <c r="Q90" s="494">
        <v>20</v>
      </c>
      <c r="R90" s="484"/>
      <c r="S90" s="258"/>
      <c r="W90" s="357">
        <v>2</v>
      </c>
      <c r="X90" s="357">
        <v>0</v>
      </c>
      <c r="Y90" s="357">
        <v>-1</v>
      </c>
      <c r="Z90" s="374">
        <v>-0.84548187169113997</v>
      </c>
      <c r="AA90" s="375"/>
      <c r="AB90" s="375"/>
      <c r="AC90" s="376">
        <f t="shared" si="55"/>
        <v>0</v>
      </c>
      <c r="AD90" s="376">
        <f t="shared" si="56"/>
        <v>0</v>
      </c>
      <c r="AG90" s="517">
        <v>25</v>
      </c>
      <c r="AH90" s="518">
        <v>4</v>
      </c>
      <c r="AI90" s="521" t="s">
        <v>215</v>
      </c>
      <c r="AJ90" s="522" t="s">
        <v>95</v>
      </c>
      <c r="AK90" s="512" t="s">
        <v>161</v>
      </c>
      <c r="AL90" s="513">
        <v>20</v>
      </c>
      <c r="AM90" s="513">
        <v>5.6127405035765001</v>
      </c>
      <c r="AN90" s="514">
        <v>151</v>
      </c>
      <c r="AP90" s="517">
        <v>25</v>
      </c>
      <c r="AQ90" s="518">
        <v>3</v>
      </c>
      <c r="AR90" s="495" t="s">
        <v>295</v>
      </c>
      <c r="AS90" s="522" t="s">
        <v>96</v>
      </c>
      <c r="AT90" s="516" t="s">
        <v>299</v>
      </c>
      <c r="AU90" s="513">
        <v>15</v>
      </c>
      <c r="AV90" s="513" t="s">
        <v>314</v>
      </c>
      <c r="AW90" s="499">
        <f>IF($AP$90&gt;AU90,(AU90*4)+$V$138,$V$138)</f>
        <v>150</v>
      </c>
      <c r="AY90" s="101" t="s">
        <v>276</v>
      </c>
      <c r="AZ90" s="102">
        <v>20</v>
      </c>
      <c r="BA90" s="116">
        <v>1.6570287499999999E-2</v>
      </c>
      <c r="BB90" s="102">
        <v>115</v>
      </c>
    </row>
    <row r="91" spans="2:54" ht="16.3" hidden="1" thickBot="1" x14ac:dyDescent="0.5">
      <c r="B91" s="472" t="s">
        <v>34</v>
      </c>
      <c r="C91" s="473">
        <v>95</v>
      </c>
      <c r="D91" s="474">
        <f t="shared" si="54"/>
        <v>25</v>
      </c>
      <c r="E91" s="475">
        <v>70</v>
      </c>
      <c r="G91" s="502"/>
      <c r="H91" s="517">
        <v>25</v>
      </c>
      <c r="I91" s="518">
        <v>3</v>
      </c>
      <c r="J91" s="519" t="s">
        <v>295</v>
      </c>
      <c r="K91" s="520" t="s">
        <v>96</v>
      </c>
      <c r="L91" s="507" t="s">
        <v>299</v>
      </c>
      <c r="M91" s="508">
        <v>15</v>
      </c>
      <c r="N91" s="508" t="s">
        <v>314</v>
      </c>
      <c r="O91" s="509">
        <f>IF($AP$90&gt;M91,(M91*4)+$V$138,$V$138)</f>
        <v>150</v>
      </c>
      <c r="P91" s="258"/>
      <c r="Q91" s="494">
        <v>25</v>
      </c>
      <c r="R91" s="484"/>
      <c r="S91" s="258"/>
      <c r="W91" s="357">
        <v>3</v>
      </c>
      <c r="X91" s="357">
        <v>0</v>
      </c>
      <c r="Y91" s="357">
        <v>0</v>
      </c>
      <c r="Z91" s="374">
        <v>-3.756360367204</v>
      </c>
      <c r="AA91" s="375"/>
      <c r="AB91" s="375"/>
      <c r="AC91" s="376">
        <f t="shared" si="55"/>
        <v>0</v>
      </c>
      <c r="AD91" s="376">
        <f t="shared" si="56"/>
        <v>0</v>
      </c>
      <c r="AG91" s="517"/>
      <c r="AH91" s="518"/>
      <c r="AI91" s="521" t="s">
        <v>216</v>
      </c>
      <c r="AJ91" s="524" t="s">
        <v>96</v>
      </c>
      <c r="AK91" s="512" t="s">
        <v>161</v>
      </c>
      <c r="AL91" s="513">
        <v>20</v>
      </c>
      <c r="AM91" s="513">
        <v>5.6127405035765001</v>
      </c>
      <c r="AN91" s="514">
        <v>151</v>
      </c>
      <c r="AP91" s="517"/>
      <c r="AQ91" s="518"/>
      <c r="AR91" s="515" t="s">
        <v>296</v>
      </c>
      <c r="AS91" s="524" t="s">
        <v>96</v>
      </c>
      <c r="AT91" s="516" t="s">
        <v>161</v>
      </c>
      <c r="AU91" s="513">
        <v>20</v>
      </c>
      <c r="AV91" s="513">
        <v>5.6127405035765001</v>
      </c>
      <c r="AW91" s="514">
        <f>IF($AP$90&gt;AU91,(AU91*4)+$V$140,$V$140)</f>
        <v>195</v>
      </c>
      <c r="AY91" s="101" t="s">
        <v>277</v>
      </c>
      <c r="AZ91" s="102">
        <v>20</v>
      </c>
      <c r="BA91" s="116">
        <v>1.8128177777777778E-2</v>
      </c>
      <c r="BB91" s="102">
        <v>155</v>
      </c>
    </row>
    <row r="92" spans="2:54" ht="16.3" hidden="1" thickBot="1" x14ac:dyDescent="0.5">
      <c r="B92" s="472" t="s">
        <v>173</v>
      </c>
      <c r="C92" s="473">
        <v>95</v>
      </c>
      <c r="D92" s="474">
        <v>35</v>
      </c>
      <c r="E92" s="475">
        <v>60</v>
      </c>
      <c r="G92" s="502"/>
      <c r="H92" s="517"/>
      <c r="I92" s="518"/>
      <c r="J92" s="505" t="s">
        <v>296</v>
      </c>
      <c r="K92" s="523" t="s">
        <v>96</v>
      </c>
      <c r="L92" s="507" t="s">
        <v>161</v>
      </c>
      <c r="M92" s="508">
        <v>20</v>
      </c>
      <c r="N92" s="508" t="s">
        <v>313</v>
      </c>
      <c r="O92" s="509">
        <f>IF($AP$90&gt;M92,(M92*4)+$V$140,$V$140)</f>
        <v>195</v>
      </c>
      <c r="P92" s="258"/>
      <c r="Q92" s="494">
        <v>32</v>
      </c>
      <c r="R92" s="484"/>
      <c r="S92" s="258"/>
      <c r="W92" s="357">
        <v>4</v>
      </c>
      <c r="X92" s="357">
        <v>0</v>
      </c>
      <c r="Y92" s="357">
        <v>1</v>
      </c>
      <c r="Z92" s="374">
        <v>3.3855169168385002</v>
      </c>
      <c r="AA92" s="375"/>
      <c r="AB92" s="375"/>
      <c r="AC92" s="376">
        <f t="shared" si="55"/>
        <v>0</v>
      </c>
      <c r="AD92" s="376">
        <f t="shared" si="56"/>
        <v>0</v>
      </c>
      <c r="AG92" s="517"/>
      <c r="AH92" s="518"/>
      <c r="AI92" s="521" t="s">
        <v>217</v>
      </c>
      <c r="AJ92" s="524" t="s">
        <v>95</v>
      </c>
      <c r="AK92" s="512" t="s">
        <v>167</v>
      </c>
      <c r="AL92" s="513">
        <v>25</v>
      </c>
      <c r="AM92" s="513">
        <v>0</v>
      </c>
      <c r="AN92" s="514">
        <v>200</v>
      </c>
      <c r="AP92" s="517"/>
      <c r="AQ92" s="518"/>
      <c r="AR92" s="515" t="s">
        <v>298</v>
      </c>
      <c r="AS92" s="524" t="s">
        <v>96</v>
      </c>
      <c r="AT92" s="516" t="s">
        <v>167</v>
      </c>
      <c r="AU92" s="513">
        <v>25</v>
      </c>
      <c r="AV92" s="513">
        <v>0</v>
      </c>
      <c r="AW92" s="499">
        <f>IF($AP$90&gt;AU92,(AU92*4)+$V$142,$V$142)</f>
        <v>120</v>
      </c>
      <c r="AY92" s="101" t="s">
        <v>278</v>
      </c>
      <c r="AZ92" s="102">
        <v>25</v>
      </c>
      <c r="BA92" s="116">
        <v>3.1598420987654322E-2</v>
      </c>
      <c r="BB92" s="102">
        <v>111</v>
      </c>
    </row>
    <row r="93" spans="2:54" ht="15.9" hidden="1" x14ac:dyDescent="0.45">
      <c r="B93" s="472" t="s">
        <v>162</v>
      </c>
      <c r="C93" s="473">
        <v>90</v>
      </c>
      <c r="D93" s="474">
        <f t="shared" si="54"/>
        <v>20</v>
      </c>
      <c r="E93" s="475">
        <v>70</v>
      </c>
      <c r="G93" s="502"/>
      <c r="H93" s="517"/>
      <c r="I93" s="518"/>
      <c r="J93" s="505" t="s">
        <v>298</v>
      </c>
      <c r="K93" s="523" t="s">
        <v>96</v>
      </c>
      <c r="L93" s="507" t="s">
        <v>167</v>
      </c>
      <c r="M93" s="508">
        <v>25</v>
      </c>
      <c r="N93" s="508">
        <v>0</v>
      </c>
      <c r="O93" s="509">
        <f>IF($AP$90&gt;M93,(M93*4)+$V$142,$V$142)</f>
        <v>120</v>
      </c>
      <c r="P93" s="258"/>
      <c r="Q93" s="494">
        <v>40</v>
      </c>
      <c r="R93" s="484"/>
      <c r="S93" s="258"/>
      <c r="W93" s="357">
        <v>5</v>
      </c>
      <c r="X93" s="357">
        <v>0</v>
      </c>
      <c r="Y93" s="357">
        <v>2</v>
      </c>
      <c r="Z93" s="374">
        <v>-0.95791963387872003</v>
      </c>
      <c r="AA93" s="375"/>
      <c r="AB93" s="375"/>
      <c r="AC93" s="376">
        <f t="shared" si="55"/>
        <v>0</v>
      </c>
      <c r="AD93" s="376">
        <f t="shared" si="56"/>
        <v>0</v>
      </c>
      <c r="AG93" s="517"/>
      <c r="AH93" s="518"/>
      <c r="AI93" s="513" t="s">
        <v>218</v>
      </c>
      <c r="AJ93" s="526" t="s">
        <v>96</v>
      </c>
      <c r="AK93" s="512" t="s">
        <v>167</v>
      </c>
      <c r="AL93" s="513">
        <v>25</v>
      </c>
      <c r="AM93" s="513">
        <v>0</v>
      </c>
      <c r="AN93" s="514">
        <v>200</v>
      </c>
      <c r="AP93" s="517">
        <v>32</v>
      </c>
      <c r="AQ93" s="518">
        <v>4</v>
      </c>
      <c r="AR93" s="495" t="s">
        <v>295</v>
      </c>
      <c r="AS93" s="526" t="s">
        <v>96</v>
      </c>
      <c r="AT93" s="516" t="s">
        <v>301</v>
      </c>
      <c r="AU93" s="513">
        <v>15</v>
      </c>
      <c r="AV93" s="513" t="s">
        <v>315</v>
      </c>
      <c r="AW93" s="499">
        <f>IF($AP$93&gt;AU93,(AU93*4)+$V$138,$V$138)</f>
        <v>150</v>
      </c>
      <c r="AY93" s="101" t="s">
        <v>279</v>
      </c>
      <c r="AZ93" s="102">
        <v>25</v>
      </c>
      <c r="BA93" s="116">
        <v>2.2974947530864198E-3</v>
      </c>
      <c r="BB93" s="102">
        <v>200</v>
      </c>
    </row>
    <row r="94" spans="2:54" ht="16.3" hidden="1" thickBot="1" x14ac:dyDescent="0.5">
      <c r="B94" s="472" t="s">
        <v>44</v>
      </c>
      <c r="C94" s="527">
        <v>85</v>
      </c>
      <c r="D94" s="474">
        <f t="shared" si="54"/>
        <v>25</v>
      </c>
      <c r="E94" s="528">
        <v>60</v>
      </c>
      <c r="G94" s="502">
        <v>3</v>
      </c>
      <c r="H94" s="517">
        <v>32</v>
      </c>
      <c r="I94" s="518">
        <v>4</v>
      </c>
      <c r="J94" s="519" t="s">
        <v>295</v>
      </c>
      <c r="K94" s="525" t="s">
        <v>96</v>
      </c>
      <c r="L94" s="507" t="s">
        <v>301</v>
      </c>
      <c r="M94" s="508">
        <v>15</v>
      </c>
      <c r="N94" s="508" t="s">
        <v>360</v>
      </c>
      <c r="O94" s="509">
        <f>IF($AP$93&gt;M94,(M94*4)+$V$138,$V$138)</f>
        <v>150</v>
      </c>
      <c r="P94" s="258"/>
      <c r="Q94" s="494">
        <v>50</v>
      </c>
      <c r="R94" s="484"/>
      <c r="S94" s="258"/>
      <c r="W94" s="357">
        <v>6</v>
      </c>
      <c r="X94" s="357">
        <v>0</v>
      </c>
      <c r="Y94" s="357">
        <v>3</v>
      </c>
      <c r="Z94" s="374">
        <v>0.15772038513228001</v>
      </c>
      <c r="AA94" s="375"/>
      <c r="AB94" s="375"/>
      <c r="AC94" s="376">
        <f t="shared" si="55"/>
        <v>0</v>
      </c>
      <c r="AD94" s="376">
        <f t="shared" si="56"/>
        <v>0</v>
      </c>
      <c r="AG94" s="529">
        <v>32</v>
      </c>
      <c r="AH94" s="530">
        <v>6</v>
      </c>
      <c r="AI94" s="513" t="s">
        <v>215</v>
      </c>
      <c r="AJ94" s="526" t="s">
        <v>95</v>
      </c>
      <c r="AK94" s="512" t="s">
        <v>4</v>
      </c>
      <c r="AL94" s="513">
        <v>20</v>
      </c>
      <c r="AM94" s="513">
        <v>22.619864948040426</v>
      </c>
      <c r="AN94" s="514">
        <v>191</v>
      </c>
      <c r="AP94" s="517"/>
      <c r="AQ94" s="518"/>
      <c r="AR94" s="515" t="s">
        <v>296</v>
      </c>
      <c r="AS94" s="526" t="s">
        <v>96</v>
      </c>
      <c r="AT94" s="516" t="s">
        <v>4</v>
      </c>
      <c r="AU94" s="513">
        <v>20</v>
      </c>
      <c r="AV94" s="513">
        <v>22.619864948040401</v>
      </c>
      <c r="AW94" s="514">
        <f>IF($AP$93&gt;AU94,(AU94*4)+$V$140,$V$140)</f>
        <v>195</v>
      </c>
      <c r="AY94" s="101" t="s">
        <v>280</v>
      </c>
      <c r="AZ94" s="102">
        <v>32</v>
      </c>
      <c r="BA94" s="116">
        <v>1.416263888888889E-3</v>
      </c>
      <c r="BB94" s="102">
        <v>128</v>
      </c>
    </row>
    <row r="95" spans="2:54" ht="15.9" hidden="1" x14ac:dyDescent="0.45">
      <c r="B95" s="531" t="s">
        <v>60</v>
      </c>
      <c r="C95" s="532">
        <v>75</v>
      </c>
      <c r="D95" s="474">
        <v>15</v>
      </c>
      <c r="E95" s="533">
        <v>60</v>
      </c>
      <c r="G95" s="502">
        <v>4</v>
      </c>
      <c r="H95" s="517"/>
      <c r="I95" s="518"/>
      <c r="J95" s="505" t="s">
        <v>296</v>
      </c>
      <c r="K95" s="525" t="s">
        <v>96</v>
      </c>
      <c r="L95" s="507" t="s">
        <v>4</v>
      </c>
      <c r="M95" s="508">
        <v>20</v>
      </c>
      <c r="N95" s="508" t="s">
        <v>355</v>
      </c>
      <c r="O95" s="509">
        <f>IF($AP$93&gt;M95,(M95*4)+$V$140,$V$140)</f>
        <v>195</v>
      </c>
      <c r="P95" s="258"/>
      <c r="Q95" s="494">
        <v>65</v>
      </c>
      <c r="R95" s="484"/>
      <c r="S95" s="258"/>
      <c r="V95" s="258"/>
      <c r="W95" s="357">
        <v>7</v>
      </c>
      <c r="X95" s="357">
        <v>0</v>
      </c>
      <c r="Y95" s="357">
        <v>4</v>
      </c>
      <c r="Z95" s="374">
        <v>-1.6616417199501E-2</v>
      </c>
      <c r="AA95" s="375"/>
      <c r="AB95" s="375"/>
      <c r="AC95" s="376">
        <f t="shared" si="55"/>
        <v>0</v>
      </c>
      <c r="AD95" s="376">
        <f t="shared" si="56"/>
        <v>0</v>
      </c>
      <c r="AG95" s="517"/>
      <c r="AH95" s="518"/>
      <c r="AI95" s="513" t="s">
        <v>216</v>
      </c>
      <c r="AJ95" s="526" t="s">
        <v>96</v>
      </c>
      <c r="AK95" s="512" t="s">
        <v>4</v>
      </c>
      <c r="AL95" s="513">
        <v>20</v>
      </c>
      <c r="AM95" s="513">
        <v>22.619864948040401</v>
      </c>
      <c r="AN95" s="514">
        <v>191</v>
      </c>
      <c r="AP95" s="517"/>
      <c r="AQ95" s="518"/>
      <c r="AR95" s="515" t="s">
        <v>298</v>
      </c>
      <c r="AS95" s="526" t="s">
        <v>96</v>
      </c>
      <c r="AT95" s="516" t="s">
        <v>168</v>
      </c>
      <c r="AU95" s="513">
        <v>25</v>
      </c>
      <c r="AV95" s="513">
        <v>7.8518154073679698</v>
      </c>
      <c r="AW95" s="499">
        <f>IF($AP$93&gt;AU95,(AU95*4)+$V$142,$V$142)</f>
        <v>220</v>
      </c>
      <c r="AY95" s="101" t="s">
        <v>281</v>
      </c>
      <c r="AZ95" s="102">
        <v>32</v>
      </c>
      <c r="BA95" s="103">
        <v>1.5494320987654321E-3</v>
      </c>
      <c r="BB95" s="102">
        <v>200</v>
      </c>
    </row>
    <row r="96" spans="2:54" ht="16.3" hidden="1" thickBot="1" x14ac:dyDescent="0.5">
      <c r="B96" s="535" t="s">
        <v>118</v>
      </c>
      <c r="C96" s="536">
        <v>70</v>
      </c>
      <c r="D96" s="474">
        <f>C96-E96</f>
        <v>30</v>
      </c>
      <c r="E96" s="537">
        <v>40</v>
      </c>
      <c r="G96" s="502"/>
      <c r="H96" s="517"/>
      <c r="I96" s="518"/>
      <c r="J96" s="505" t="s">
        <v>298</v>
      </c>
      <c r="K96" s="525" t="s">
        <v>96</v>
      </c>
      <c r="L96" s="507" t="s">
        <v>168</v>
      </c>
      <c r="M96" s="508">
        <v>25</v>
      </c>
      <c r="N96" s="534" t="s">
        <v>359</v>
      </c>
      <c r="O96" s="509">
        <f>IF($AP$93&gt;M96,(M96*4)+$V$142,$V$142)</f>
        <v>220</v>
      </c>
      <c r="P96" s="258"/>
      <c r="Q96" s="494">
        <v>80</v>
      </c>
      <c r="R96" s="484"/>
      <c r="S96" s="258"/>
      <c r="V96" s="258"/>
      <c r="W96" s="357">
        <v>8</v>
      </c>
      <c r="X96" s="357">
        <v>0</v>
      </c>
      <c r="Y96" s="357">
        <v>5</v>
      </c>
      <c r="Z96" s="374">
        <v>8.1214629983567997E-4</v>
      </c>
      <c r="AA96" s="375"/>
      <c r="AB96" s="375"/>
      <c r="AC96" s="376">
        <f t="shared" si="55"/>
        <v>0</v>
      </c>
      <c r="AD96" s="376">
        <f t="shared" si="56"/>
        <v>0</v>
      </c>
      <c r="AG96" s="517"/>
      <c r="AH96" s="518"/>
      <c r="AI96" s="538" t="s">
        <v>217</v>
      </c>
      <c r="AJ96" s="539" t="s">
        <v>95</v>
      </c>
      <c r="AK96" s="540" t="s">
        <v>168</v>
      </c>
      <c r="AL96" s="538">
        <v>25</v>
      </c>
      <c r="AM96" s="538">
        <v>7.8518154073679698</v>
      </c>
      <c r="AN96" s="541">
        <v>300</v>
      </c>
      <c r="AP96" s="517"/>
      <c r="AQ96" s="518"/>
      <c r="AR96" s="515" t="s">
        <v>300</v>
      </c>
      <c r="AS96" s="539" t="s">
        <v>96</v>
      </c>
      <c r="AT96" s="542" t="s">
        <v>7</v>
      </c>
      <c r="AU96" s="538">
        <v>32</v>
      </c>
      <c r="AV96" s="538">
        <v>0</v>
      </c>
      <c r="AW96" s="541">
        <f>IF($AP$93&gt;AU96,(AU96*4)+$V$144,$V$144)</f>
        <v>128</v>
      </c>
      <c r="AY96" s="101" t="s">
        <v>282</v>
      </c>
      <c r="AZ96" s="102">
        <v>40</v>
      </c>
      <c r="BA96" s="116">
        <v>4.2198369382716048E-3</v>
      </c>
      <c r="BB96" s="102">
        <v>186</v>
      </c>
    </row>
    <row r="97" spans="1:54" ht="15.9" hidden="1" x14ac:dyDescent="0.45">
      <c r="G97" s="502"/>
      <c r="H97" s="517"/>
      <c r="I97" s="518"/>
      <c r="J97" s="505" t="s">
        <v>300</v>
      </c>
      <c r="K97" s="525" t="s">
        <v>96</v>
      </c>
      <c r="L97" s="507" t="s">
        <v>7</v>
      </c>
      <c r="M97" s="508">
        <v>32</v>
      </c>
      <c r="N97" s="508">
        <v>0</v>
      </c>
      <c r="O97" s="509">
        <f>IF($AP$93&gt;M97,(M97*4)+$V$144,$V$144)</f>
        <v>128</v>
      </c>
      <c r="P97" s="258"/>
      <c r="Q97" s="494">
        <v>100</v>
      </c>
      <c r="R97" s="484"/>
      <c r="S97" s="258"/>
      <c r="V97" s="258"/>
      <c r="W97" s="357">
        <v>9</v>
      </c>
      <c r="X97" s="357">
        <v>1</v>
      </c>
      <c r="Y97" s="357">
        <v>-9</v>
      </c>
      <c r="Z97" s="374">
        <v>2.8319080123804E-4</v>
      </c>
      <c r="AA97" s="375"/>
      <c r="AB97" s="375"/>
      <c r="AC97" s="376">
        <f t="shared" si="55"/>
        <v>-1.3016391649806926E-7</v>
      </c>
      <c r="AD97" s="376">
        <f t="shared" si="56"/>
        <v>-2.534709392903721E-8</v>
      </c>
      <c r="AG97" s="517"/>
      <c r="AH97" s="518"/>
      <c r="AI97" s="538" t="s">
        <v>218</v>
      </c>
      <c r="AJ97" s="539" t="s">
        <v>96</v>
      </c>
      <c r="AK97" s="540" t="s">
        <v>168</v>
      </c>
      <c r="AL97" s="538">
        <v>25</v>
      </c>
      <c r="AM97" s="538">
        <v>7.8518154073679698</v>
      </c>
      <c r="AN97" s="541">
        <v>300</v>
      </c>
      <c r="AP97" s="517">
        <v>40</v>
      </c>
      <c r="AQ97" s="518">
        <v>5</v>
      </c>
      <c r="AR97" s="495" t="s">
        <v>295</v>
      </c>
      <c r="AS97" s="539" t="s">
        <v>96</v>
      </c>
      <c r="AT97" s="542" t="s">
        <v>303</v>
      </c>
      <c r="AU97" s="538">
        <v>15</v>
      </c>
      <c r="AV97" s="538" t="s">
        <v>314</v>
      </c>
      <c r="AW97" s="499">
        <f>IF($AP$97&gt;AU97,(AU97*4)+$V$138,$V$138)</f>
        <v>150</v>
      </c>
      <c r="AY97" s="101" t="s">
        <v>283</v>
      </c>
      <c r="AZ97" s="102">
        <v>40</v>
      </c>
      <c r="BA97" s="116">
        <v>2.769582716049383E-4</v>
      </c>
      <c r="BB97" s="102">
        <v>200</v>
      </c>
    </row>
    <row r="98" spans="1:54" ht="16.3" hidden="1" thickBot="1" x14ac:dyDescent="0.5">
      <c r="B98" s="465" t="s">
        <v>51</v>
      </c>
      <c r="C98" s="465"/>
      <c r="D98" s="465"/>
      <c r="G98" s="502">
        <v>5</v>
      </c>
      <c r="H98" s="517">
        <v>40</v>
      </c>
      <c r="I98" s="518">
        <v>5</v>
      </c>
      <c r="J98" s="519" t="s">
        <v>295</v>
      </c>
      <c r="K98" s="525" t="s">
        <v>96</v>
      </c>
      <c r="L98" s="507" t="s">
        <v>303</v>
      </c>
      <c r="M98" s="508">
        <v>15</v>
      </c>
      <c r="N98" s="508" t="s">
        <v>314</v>
      </c>
      <c r="O98" s="509">
        <f>IF($AP$97&gt;M98,(M98*4)+$V$138,$V$138)</f>
        <v>150</v>
      </c>
      <c r="P98" s="258"/>
      <c r="Q98" s="494">
        <v>150</v>
      </c>
      <c r="U98" s="258"/>
      <c r="V98" s="258"/>
      <c r="W98" s="357">
        <v>10</v>
      </c>
      <c r="X98" s="357">
        <v>1</v>
      </c>
      <c r="Y98" s="357">
        <v>-7</v>
      </c>
      <c r="Z98" s="374">
        <v>-6.0706301565873996E-4</v>
      </c>
      <c r="AA98" s="375"/>
      <c r="AB98" s="375"/>
      <c r="AC98" s="376">
        <f t="shared" si="55"/>
        <v>1.5393294610450025E-6</v>
      </c>
      <c r="AD98" s="376">
        <f t="shared" si="56"/>
        <v>4.3119320756857168E-7</v>
      </c>
      <c r="AG98" s="517"/>
      <c r="AH98" s="518"/>
      <c r="AI98" s="513" t="s">
        <v>207</v>
      </c>
      <c r="AJ98" s="526" t="s">
        <v>95</v>
      </c>
      <c r="AK98" s="512" t="s">
        <v>7</v>
      </c>
      <c r="AL98" s="513">
        <v>32</v>
      </c>
      <c r="AM98" s="513">
        <v>0</v>
      </c>
      <c r="AN98" s="514">
        <v>128</v>
      </c>
      <c r="AP98" s="517"/>
      <c r="AQ98" s="518"/>
      <c r="AR98" s="515" t="s">
        <v>296</v>
      </c>
      <c r="AS98" s="526" t="s">
        <v>96</v>
      </c>
      <c r="AT98" s="516" t="s">
        <v>5</v>
      </c>
      <c r="AU98" s="513">
        <v>20</v>
      </c>
      <c r="AV98" s="513">
        <v>36.86989764584402</v>
      </c>
      <c r="AW98" s="514">
        <f>IF($AP$97&gt;AU98,(AU98*4)+$V$140,$V$140)</f>
        <v>195</v>
      </c>
      <c r="AY98" s="101" t="s">
        <v>284</v>
      </c>
      <c r="AZ98" s="102">
        <v>50</v>
      </c>
      <c r="BA98" s="116">
        <v>1.2589012345679012E-4</v>
      </c>
      <c r="BB98" s="102">
        <v>153</v>
      </c>
    </row>
    <row r="99" spans="1:54" ht="16.3" hidden="1" thickBot="1" x14ac:dyDescent="0.5">
      <c r="B99" s="466" t="s">
        <v>38</v>
      </c>
      <c r="C99" s="466" t="s">
        <v>53</v>
      </c>
      <c r="D99" s="466" t="s">
        <v>40</v>
      </c>
      <c r="E99" s="543" t="s">
        <v>54</v>
      </c>
      <c r="G99" s="486">
        <v>6</v>
      </c>
      <c r="H99" s="517"/>
      <c r="I99" s="518"/>
      <c r="J99" s="505" t="s">
        <v>296</v>
      </c>
      <c r="K99" s="525" t="s">
        <v>96</v>
      </c>
      <c r="L99" s="507" t="s">
        <v>5</v>
      </c>
      <c r="M99" s="508">
        <v>20</v>
      </c>
      <c r="N99" s="508" t="s">
        <v>356</v>
      </c>
      <c r="O99" s="509">
        <f>IF($AP$97&gt;M99,(M99*4)+$V$140,$V$140)</f>
        <v>195</v>
      </c>
      <c r="P99" s="258"/>
      <c r="Q99" s="494">
        <v>200</v>
      </c>
      <c r="U99" s="258"/>
      <c r="V99" s="258"/>
      <c r="W99" s="357">
        <v>11</v>
      </c>
      <c r="X99" s="357">
        <v>1</v>
      </c>
      <c r="Y99" s="357">
        <v>-1</v>
      </c>
      <c r="Z99" s="374">
        <v>-1.8990068218419E-2</v>
      </c>
      <c r="AA99" s="375"/>
      <c r="AB99" s="375"/>
      <c r="AC99" s="376">
        <f t="shared" si="55"/>
        <v>8.0850619948182878E-3</v>
      </c>
      <c r="AD99" s="376">
        <f t="shared" si="56"/>
        <v>6.7411186758329173E-3</v>
      </c>
      <c r="AG99" s="544"/>
      <c r="AH99" s="545"/>
      <c r="AI99" s="513" t="s">
        <v>208</v>
      </c>
      <c r="AJ99" s="526" t="s">
        <v>96</v>
      </c>
      <c r="AK99" s="512" t="s">
        <v>7</v>
      </c>
      <c r="AL99" s="513">
        <v>32</v>
      </c>
      <c r="AM99" s="513">
        <v>0</v>
      </c>
      <c r="AN99" s="514">
        <v>128</v>
      </c>
      <c r="AP99" s="517"/>
      <c r="AQ99" s="518"/>
      <c r="AR99" s="515" t="s">
        <v>298</v>
      </c>
      <c r="AS99" s="526" t="s">
        <v>96</v>
      </c>
      <c r="AT99" s="516" t="s">
        <v>169</v>
      </c>
      <c r="AU99" s="513">
        <v>25</v>
      </c>
      <c r="AV99" s="538">
        <v>13.367728216068237</v>
      </c>
      <c r="AW99" s="499">
        <f>IF($AP$97&gt;AU99,(AU99*4)+$V$142,$V$142)</f>
        <v>220</v>
      </c>
      <c r="AY99" s="101" t="s">
        <v>285</v>
      </c>
      <c r="AZ99" s="102">
        <v>50</v>
      </c>
      <c r="BA99" s="103">
        <v>1.3772729766803842E-4</v>
      </c>
      <c r="BB99" s="102">
        <v>200</v>
      </c>
    </row>
    <row r="100" spans="1:54" ht="16.3" hidden="1" thickBot="1" x14ac:dyDescent="0.5">
      <c r="B100" s="546" t="s">
        <v>60</v>
      </c>
      <c r="C100" s="547">
        <v>75</v>
      </c>
      <c r="D100" s="470">
        <f t="shared" ref="D100:D107" si="57">C100-E100</f>
        <v>15</v>
      </c>
      <c r="E100" s="548">
        <v>60</v>
      </c>
      <c r="F100" s="549" t="s">
        <v>128</v>
      </c>
      <c r="G100" s="486">
        <v>7</v>
      </c>
      <c r="H100" s="517"/>
      <c r="I100" s="518"/>
      <c r="J100" s="505" t="s">
        <v>298</v>
      </c>
      <c r="K100" s="525" t="s">
        <v>96</v>
      </c>
      <c r="L100" s="507" t="s">
        <v>169</v>
      </c>
      <c r="M100" s="508">
        <v>25</v>
      </c>
      <c r="N100" s="508" t="s">
        <v>354</v>
      </c>
      <c r="O100" s="509">
        <f>IF($AP$97&gt;M100,(M100*4)+$V$142,$V$142)</f>
        <v>220</v>
      </c>
      <c r="P100" s="258"/>
      <c r="Q100" s="494">
        <v>250</v>
      </c>
      <c r="W100" s="357">
        <v>12</v>
      </c>
      <c r="X100" s="357">
        <v>1</v>
      </c>
      <c r="Y100" s="357">
        <v>0</v>
      </c>
      <c r="Z100" s="374">
        <v>-3.2529748770504997E-2</v>
      </c>
      <c r="AA100" s="375"/>
      <c r="AB100" s="375"/>
      <c r="AC100" s="376">
        <f t="shared" si="55"/>
        <v>3.2529748770504997E-2</v>
      </c>
      <c r="AD100" s="376">
        <f t="shared" si="56"/>
        <v>3.2529748770504997E-2</v>
      </c>
      <c r="AG100" s="529">
        <v>40</v>
      </c>
      <c r="AH100" s="530">
        <v>8</v>
      </c>
      <c r="AI100" s="513" t="s">
        <v>215</v>
      </c>
      <c r="AJ100" s="526" t="s">
        <v>95</v>
      </c>
      <c r="AK100" s="512" t="s">
        <v>5</v>
      </c>
      <c r="AL100" s="513">
        <v>20</v>
      </c>
      <c r="AM100" s="513">
        <v>36.86989764584402</v>
      </c>
      <c r="AN100" s="514">
        <v>191</v>
      </c>
      <c r="AP100" s="517"/>
      <c r="AQ100" s="518"/>
      <c r="AR100" s="515" t="s">
        <v>300</v>
      </c>
      <c r="AS100" s="526" t="s">
        <v>96</v>
      </c>
      <c r="AT100" s="516" t="s">
        <v>8</v>
      </c>
      <c r="AU100" s="513">
        <v>32</v>
      </c>
      <c r="AV100" s="513">
        <v>15.189286737182901</v>
      </c>
      <c r="AW100" s="541">
        <f>IF($AP$97&gt;AU100,(AU100*4)+$V$144,$V$144)</f>
        <v>256</v>
      </c>
      <c r="AY100" s="101" t="s">
        <v>286</v>
      </c>
      <c r="AZ100" s="102">
        <v>65</v>
      </c>
      <c r="BA100" s="103">
        <v>3.8132086058859719E-5</v>
      </c>
      <c r="BB100" s="102">
        <v>200</v>
      </c>
    </row>
    <row r="101" spans="1:54" ht="16.3" hidden="1" thickBot="1" x14ac:dyDescent="0.5">
      <c r="B101" s="550" t="s">
        <v>118</v>
      </c>
      <c r="C101" s="551">
        <v>70</v>
      </c>
      <c r="D101" s="527">
        <f t="shared" si="57"/>
        <v>30</v>
      </c>
      <c r="E101" s="528">
        <v>40</v>
      </c>
      <c r="G101" s="502">
        <v>8</v>
      </c>
      <c r="H101" s="517"/>
      <c r="I101" s="518"/>
      <c r="J101" s="505" t="s">
        <v>300</v>
      </c>
      <c r="K101" s="525" t="s">
        <v>96</v>
      </c>
      <c r="L101" s="507" t="s">
        <v>8</v>
      </c>
      <c r="M101" s="508">
        <v>32</v>
      </c>
      <c r="N101" s="508" t="s">
        <v>362</v>
      </c>
      <c r="O101" s="509">
        <f>IF($AP$97&gt;M101,(M101*4)+$V$144,$V$144)</f>
        <v>256</v>
      </c>
      <c r="P101" s="258"/>
      <c r="Q101" s="494">
        <v>300</v>
      </c>
      <c r="W101" s="357">
        <v>13</v>
      </c>
      <c r="X101" s="357">
        <v>1</v>
      </c>
      <c r="Y101" s="357">
        <v>1</v>
      </c>
      <c r="Z101" s="374">
        <v>-2.1841717175413999E-2</v>
      </c>
      <c r="AA101" s="375"/>
      <c r="AB101" s="375"/>
      <c r="AC101" s="376">
        <f t="shared" si="55"/>
        <v>5.1301486548199049E-2</v>
      </c>
      <c r="AD101" s="376">
        <f t="shared" si="56"/>
        <v>6.1529208891620217E-2</v>
      </c>
      <c r="AG101" s="517"/>
      <c r="AH101" s="518"/>
      <c r="AI101" s="513" t="s">
        <v>216</v>
      </c>
      <c r="AJ101" s="526" t="s">
        <v>96</v>
      </c>
      <c r="AK101" s="512" t="s">
        <v>5</v>
      </c>
      <c r="AL101" s="513">
        <v>20</v>
      </c>
      <c r="AM101" s="513">
        <v>36.86989764584402</v>
      </c>
      <c r="AN101" s="514">
        <v>191</v>
      </c>
      <c r="AP101" s="517"/>
      <c r="AQ101" s="518"/>
      <c r="AR101" s="515" t="s">
        <v>302</v>
      </c>
      <c r="AS101" s="526" t="s">
        <v>96</v>
      </c>
      <c r="AT101" s="516" t="s">
        <v>156</v>
      </c>
      <c r="AU101" s="513">
        <v>40</v>
      </c>
      <c r="AV101" s="513">
        <v>0</v>
      </c>
      <c r="AW101" s="541">
        <f>IF($AP$97&gt;AU101,(AU101*4)+$V$146,$V$146)</f>
        <v>186</v>
      </c>
      <c r="AY101" s="101" t="s">
        <v>287</v>
      </c>
      <c r="AZ101" s="102">
        <v>80</v>
      </c>
      <c r="BA101" s="103">
        <v>1.2642022258409874E-5</v>
      </c>
      <c r="BB101" s="102">
        <v>200</v>
      </c>
    </row>
    <row r="102" spans="1:54" ht="16.3" hidden="1" thickBot="1" x14ac:dyDescent="0.5">
      <c r="B102" s="552" t="s">
        <v>164</v>
      </c>
      <c r="C102" s="551">
        <v>72</v>
      </c>
      <c r="D102" s="527">
        <f t="shared" si="57"/>
        <v>28</v>
      </c>
      <c r="E102" s="528">
        <v>44</v>
      </c>
      <c r="G102" s="502"/>
      <c r="H102" s="517"/>
      <c r="I102" s="518"/>
      <c r="J102" s="505" t="s">
        <v>302</v>
      </c>
      <c r="K102" s="525" t="s">
        <v>96</v>
      </c>
      <c r="L102" s="507" t="s">
        <v>156</v>
      </c>
      <c r="M102" s="508">
        <v>40</v>
      </c>
      <c r="N102" s="508">
        <v>0</v>
      </c>
      <c r="O102" s="509">
        <f>IF($AP$97&gt;M102,(M102*4)+$V$146,$V$146)</f>
        <v>186</v>
      </c>
      <c r="P102" s="258"/>
      <c r="W102" s="357">
        <v>14</v>
      </c>
      <c r="X102" s="357">
        <v>1</v>
      </c>
      <c r="Y102" s="357">
        <v>3</v>
      </c>
      <c r="Z102" s="374">
        <v>-5.2838357969930002E-5</v>
      </c>
      <c r="AA102" s="375"/>
      <c r="AB102" s="375"/>
      <c r="AC102" s="376">
        <f t="shared" si="55"/>
        <v>6.8466609883932627E-4</v>
      </c>
      <c r="AD102" s="376">
        <f t="shared" si="56"/>
        <v>1.1812259215529407E-3</v>
      </c>
      <c r="AG102" s="517"/>
      <c r="AH102" s="518"/>
      <c r="AI102" s="538" t="s">
        <v>217</v>
      </c>
      <c r="AJ102" s="539" t="s">
        <v>95</v>
      </c>
      <c r="AK102" s="540" t="s">
        <v>169</v>
      </c>
      <c r="AL102" s="538">
        <v>25</v>
      </c>
      <c r="AM102" s="538">
        <v>13.367728216068237</v>
      </c>
      <c r="AN102" s="541">
        <v>300</v>
      </c>
      <c r="AP102" s="517">
        <v>50</v>
      </c>
      <c r="AQ102" s="518">
        <v>6</v>
      </c>
      <c r="AR102" s="495" t="s">
        <v>295</v>
      </c>
      <c r="AS102" s="539" t="s">
        <v>96</v>
      </c>
      <c r="AT102" s="542" t="s">
        <v>305</v>
      </c>
      <c r="AU102" s="538">
        <v>15</v>
      </c>
      <c r="AV102" s="538" t="s">
        <v>316</v>
      </c>
      <c r="AW102" s="499">
        <f>IF($AP$102&gt;AU102,(AU102*4)+$V$138,$V$138)</f>
        <v>150</v>
      </c>
      <c r="AY102" s="101" t="s">
        <v>288</v>
      </c>
      <c r="AZ102" s="102">
        <v>100</v>
      </c>
      <c r="BA102" s="103">
        <v>3.8546061519178562E-6</v>
      </c>
      <c r="BB102" s="102">
        <v>250</v>
      </c>
    </row>
    <row r="103" spans="1:54" ht="16.3" hidden="1" thickBot="1" x14ac:dyDescent="0.5">
      <c r="B103" s="550" t="s">
        <v>52</v>
      </c>
      <c r="C103" s="551">
        <v>65</v>
      </c>
      <c r="D103" s="527">
        <f t="shared" si="57"/>
        <v>10</v>
      </c>
      <c r="E103" s="528">
        <v>55</v>
      </c>
      <c r="F103" s="553" t="s">
        <v>133</v>
      </c>
      <c r="G103" s="502"/>
      <c r="H103" s="517">
        <v>50</v>
      </c>
      <c r="I103" s="518">
        <v>6</v>
      </c>
      <c r="J103" s="519" t="s">
        <v>295</v>
      </c>
      <c r="K103" s="525" t="s">
        <v>96</v>
      </c>
      <c r="L103" s="507" t="s">
        <v>305</v>
      </c>
      <c r="M103" s="508">
        <v>15</v>
      </c>
      <c r="N103" s="508" t="s">
        <v>316</v>
      </c>
      <c r="O103" s="509">
        <f>IF($AP$102&gt;M103,(M103*4)+$V$138,$V$138)</f>
        <v>150</v>
      </c>
      <c r="P103" s="258"/>
      <c r="W103" s="357">
        <v>15</v>
      </c>
      <c r="X103" s="357">
        <v>2</v>
      </c>
      <c r="Y103" s="357">
        <v>-3</v>
      </c>
      <c r="Z103" s="374">
        <v>-4.7184321073266998E-4</v>
      </c>
      <c r="AA103" s="375"/>
      <c r="AB103" s="375"/>
      <c r="AC103" s="376">
        <f t="shared" si="55"/>
        <v>5.1405414137987103E-4</v>
      </c>
      <c r="AD103" s="376">
        <f t="shared" si="56"/>
        <v>2.9845863815808034E-4</v>
      </c>
      <c r="AG103" s="517"/>
      <c r="AH103" s="518"/>
      <c r="AI103" s="538" t="s">
        <v>218</v>
      </c>
      <c r="AJ103" s="539" t="s">
        <v>96</v>
      </c>
      <c r="AK103" s="540" t="s">
        <v>169</v>
      </c>
      <c r="AL103" s="538">
        <v>25</v>
      </c>
      <c r="AM103" s="538">
        <v>13.367728216068237</v>
      </c>
      <c r="AN103" s="541">
        <v>300</v>
      </c>
      <c r="AP103" s="517"/>
      <c r="AQ103" s="518"/>
      <c r="AR103" s="515" t="s">
        <v>296</v>
      </c>
      <c r="AS103" s="539" t="s">
        <v>96</v>
      </c>
      <c r="AT103" s="542" t="s">
        <v>6</v>
      </c>
      <c r="AU103" s="538">
        <v>20</v>
      </c>
      <c r="AV103" s="513">
        <v>36.86989764584402</v>
      </c>
      <c r="AW103" s="514">
        <f>IF($AP$102&gt;AU103,(AU103*4)+$V$140,$V$140)</f>
        <v>195</v>
      </c>
      <c r="AY103" s="101" t="s">
        <v>289</v>
      </c>
      <c r="AZ103" s="102">
        <v>150</v>
      </c>
      <c r="BA103" s="103">
        <v>4.5200470208042317E-7</v>
      </c>
      <c r="BB103" s="102">
        <v>314</v>
      </c>
    </row>
    <row r="104" spans="1:54" ht="15.9" hidden="1" x14ac:dyDescent="0.45">
      <c r="B104" s="550" t="s">
        <v>172</v>
      </c>
      <c r="C104" s="551">
        <v>65</v>
      </c>
      <c r="D104" s="527">
        <v>25</v>
      </c>
      <c r="E104" s="528">
        <v>40</v>
      </c>
      <c r="F104" s="554"/>
      <c r="G104" s="502">
        <v>9</v>
      </c>
      <c r="H104" s="517"/>
      <c r="I104" s="518"/>
      <c r="J104" s="505" t="s">
        <v>296</v>
      </c>
      <c r="K104" s="525" t="s">
        <v>96</v>
      </c>
      <c r="L104" s="507" t="s">
        <v>6</v>
      </c>
      <c r="M104" s="508">
        <v>20</v>
      </c>
      <c r="N104" s="534" t="s">
        <v>357</v>
      </c>
      <c r="O104" s="509">
        <f>IF($AP$102&gt;M104,(M104*4)+$V$140,$V$140)</f>
        <v>195</v>
      </c>
      <c r="P104" s="258"/>
      <c r="W104" s="357">
        <v>16</v>
      </c>
      <c r="X104" s="357">
        <v>2</v>
      </c>
      <c r="Y104" s="357">
        <v>0</v>
      </c>
      <c r="Z104" s="374">
        <v>-3.0001780793025999E-4</v>
      </c>
      <c r="AA104" s="375"/>
      <c r="AB104" s="375"/>
      <c r="AC104" s="376">
        <f t="shared" si="55"/>
        <v>4.2353343154978044E-3</v>
      </c>
      <c r="AD104" s="376">
        <f t="shared" si="56"/>
        <v>4.2424539032440579E-3</v>
      </c>
      <c r="AG104" s="517"/>
      <c r="AH104" s="518"/>
      <c r="AI104" s="513" t="s">
        <v>207</v>
      </c>
      <c r="AJ104" s="526" t="s">
        <v>95</v>
      </c>
      <c r="AK104" s="512" t="s">
        <v>8</v>
      </c>
      <c r="AL104" s="513">
        <v>32</v>
      </c>
      <c r="AM104" s="513">
        <v>15.189286737182901</v>
      </c>
      <c r="AN104" s="514">
        <v>256</v>
      </c>
      <c r="AP104" s="517"/>
      <c r="AQ104" s="518"/>
      <c r="AR104" s="515" t="s">
        <v>298</v>
      </c>
      <c r="AS104" s="526" t="s">
        <v>96</v>
      </c>
      <c r="AT104" s="516" t="s">
        <v>170</v>
      </c>
      <c r="AU104" s="513">
        <v>25</v>
      </c>
      <c r="AV104" s="538">
        <v>18.680052345610633</v>
      </c>
      <c r="AW104" s="499">
        <f>IF($AP$97&gt;AU104,(AU104*4)+$V$142,$V$142)</f>
        <v>220</v>
      </c>
      <c r="AY104" s="101" t="s">
        <v>290</v>
      </c>
      <c r="AZ104" s="102">
        <v>200</v>
      </c>
      <c r="BA104" s="103">
        <v>9.9000367666199984E-8</v>
      </c>
      <c r="BB104" s="102">
        <v>358</v>
      </c>
    </row>
    <row r="105" spans="1:54" ht="16.3" hidden="1" thickBot="1" x14ac:dyDescent="0.5">
      <c r="B105" s="550" t="s">
        <v>55</v>
      </c>
      <c r="C105" s="551">
        <v>60</v>
      </c>
      <c r="D105" s="527">
        <f t="shared" si="57"/>
        <v>10</v>
      </c>
      <c r="E105" s="528">
        <v>50</v>
      </c>
      <c r="G105" s="486">
        <v>10</v>
      </c>
      <c r="H105" s="517"/>
      <c r="I105" s="518"/>
      <c r="J105" s="505" t="s">
        <v>298</v>
      </c>
      <c r="K105" s="525" t="s">
        <v>96</v>
      </c>
      <c r="L105" s="507" t="s">
        <v>170</v>
      </c>
      <c r="M105" s="508">
        <v>25</v>
      </c>
      <c r="N105" s="534" t="s">
        <v>331</v>
      </c>
      <c r="O105" s="509">
        <f>IF($AP$97&gt;M105,(M105*4)+$V$142,$V$142)</f>
        <v>220</v>
      </c>
      <c r="P105" s="258"/>
      <c r="W105" s="357">
        <v>17</v>
      </c>
      <c r="X105" s="357">
        <v>2</v>
      </c>
      <c r="Y105" s="357">
        <v>1</v>
      </c>
      <c r="Z105" s="374">
        <v>4.7661393906987001E-5</v>
      </c>
      <c r="AA105" s="375"/>
      <c r="AB105" s="375"/>
      <c r="AC105" s="376">
        <f t="shared" si="55"/>
        <v>-1.5803401486433977E-3</v>
      </c>
      <c r="AD105" s="376">
        <f t="shared" si="56"/>
        <v>-1.8985908790791187E-3</v>
      </c>
      <c r="AG105" s="517"/>
      <c r="AH105" s="518"/>
      <c r="AI105" s="513" t="s">
        <v>208</v>
      </c>
      <c r="AJ105" s="526" t="s">
        <v>96</v>
      </c>
      <c r="AK105" s="512" t="s">
        <v>8</v>
      </c>
      <c r="AL105" s="513">
        <v>32</v>
      </c>
      <c r="AM105" s="513">
        <v>15.189286737182901</v>
      </c>
      <c r="AN105" s="514">
        <v>256</v>
      </c>
      <c r="AP105" s="517"/>
      <c r="AQ105" s="518"/>
      <c r="AR105" s="515" t="s">
        <v>300</v>
      </c>
      <c r="AS105" s="526" t="s">
        <v>96</v>
      </c>
      <c r="AT105" s="516" t="s">
        <v>9</v>
      </c>
      <c r="AU105" s="513">
        <v>32</v>
      </c>
      <c r="AV105" s="513">
        <v>22.619864948040426</v>
      </c>
      <c r="AW105" s="541">
        <f>IF($AP$102&gt;AU105,(AU105*4)+$V$144,$V$144)</f>
        <v>256</v>
      </c>
      <c r="AY105" s="101" t="s">
        <v>291</v>
      </c>
      <c r="AZ105" s="102">
        <v>580</v>
      </c>
      <c r="BA105" s="103">
        <v>9.9000367666199984E-8</v>
      </c>
      <c r="BB105" s="102">
        <v>400</v>
      </c>
    </row>
    <row r="106" spans="1:54" ht="16.3" hidden="1" thickBot="1" x14ac:dyDescent="0.5">
      <c r="B106" s="555" t="s">
        <v>56</v>
      </c>
      <c r="C106" s="556">
        <v>55</v>
      </c>
      <c r="D106" s="536">
        <f t="shared" si="57"/>
        <v>15</v>
      </c>
      <c r="E106" s="557">
        <v>40</v>
      </c>
      <c r="F106" s="558" t="s">
        <v>134</v>
      </c>
      <c r="G106" s="502">
        <v>11</v>
      </c>
      <c r="H106" s="517"/>
      <c r="I106" s="518"/>
      <c r="J106" s="505" t="s">
        <v>300</v>
      </c>
      <c r="K106" s="525" t="s">
        <v>96</v>
      </c>
      <c r="L106" s="507" t="s">
        <v>9</v>
      </c>
      <c r="M106" s="508">
        <v>32</v>
      </c>
      <c r="N106" s="508" t="s">
        <v>363</v>
      </c>
      <c r="O106" s="509">
        <f>IF($AP$102&gt;M106,(M106*4)+$V$144,$V$144)</f>
        <v>256</v>
      </c>
      <c r="P106" s="258"/>
      <c r="W106" s="357">
        <v>18</v>
      </c>
      <c r="X106" s="357">
        <v>2</v>
      </c>
      <c r="Y106" s="357">
        <v>3</v>
      </c>
      <c r="Z106" s="374">
        <v>-4.4141845330845997E-6</v>
      </c>
      <c r="AA106" s="375"/>
      <c r="AB106" s="375"/>
      <c r="AC106" s="376">
        <f t="shared" si="55"/>
        <v>8.074593348296105E-4</v>
      </c>
      <c r="AD106" s="376">
        <f t="shared" si="56"/>
        <v>1.3954177381040739E-3</v>
      </c>
      <c r="AG106" s="517"/>
      <c r="AH106" s="518"/>
      <c r="AI106" s="513" t="s">
        <v>209</v>
      </c>
      <c r="AJ106" s="526" t="s">
        <v>95</v>
      </c>
      <c r="AK106" s="512" t="s">
        <v>156</v>
      </c>
      <c r="AL106" s="513">
        <v>40</v>
      </c>
      <c r="AM106" s="513">
        <v>0</v>
      </c>
      <c r="AN106" s="514">
        <v>200</v>
      </c>
      <c r="AP106" s="517"/>
      <c r="AQ106" s="518"/>
      <c r="AR106" s="515" t="s">
        <v>302</v>
      </c>
      <c r="AS106" s="526" t="s">
        <v>96</v>
      </c>
      <c r="AT106" s="516" t="s">
        <v>157</v>
      </c>
      <c r="AU106" s="513">
        <v>40</v>
      </c>
      <c r="AV106" s="538">
        <v>9.5272833814523548</v>
      </c>
      <c r="AW106" s="541">
        <f>IF($AP$102&gt;AU106,(AU106*4)+$V$146,$V$146)</f>
        <v>346</v>
      </c>
      <c r="AY106" s="101" t="s">
        <v>292</v>
      </c>
      <c r="AZ106" s="102">
        <v>300</v>
      </c>
      <c r="BA106" s="103">
        <v>9.9000367666199984E-8</v>
      </c>
      <c r="BB106" s="102">
        <v>438</v>
      </c>
    </row>
    <row r="107" spans="1:54" ht="12.9" hidden="1" thickBot="1" x14ac:dyDescent="0.35">
      <c r="B107" s="559" t="s">
        <v>155</v>
      </c>
      <c r="C107" s="536">
        <v>65</v>
      </c>
      <c r="D107" s="560">
        <f t="shared" si="57"/>
        <v>30</v>
      </c>
      <c r="E107" s="537">
        <v>35</v>
      </c>
      <c r="G107" s="486">
        <v>12</v>
      </c>
      <c r="H107" s="517"/>
      <c r="I107" s="518"/>
      <c r="J107" s="505" t="s">
        <v>302</v>
      </c>
      <c r="K107" s="525" t="s">
        <v>96</v>
      </c>
      <c r="L107" s="507" t="s">
        <v>157</v>
      </c>
      <c r="M107" s="508">
        <v>40</v>
      </c>
      <c r="N107" s="508" t="s">
        <v>365</v>
      </c>
      <c r="O107" s="509">
        <f>IF($AP$102&gt;M107,(M107*4)+$V$146,$V$146)</f>
        <v>346</v>
      </c>
      <c r="P107" s="258"/>
      <c r="W107" s="357">
        <v>19</v>
      </c>
      <c r="X107" s="357">
        <v>2</v>
      </c>
      <c r="Y107" s="357">
        <v>17</v>
      </c>
      <c r="Z107" s="374">
        <v>-7.2694996297594001E-16</v>
      </c>
      <c r="AA107" s="375"/>
      <c r="AB107" s="375"/>
      <c r="AC107" s="376">
        <f t="shared" si="55"/>
        <v>2.068135935882509E-8</v>
      </c>
      <c r="AD107" s="376">
        <f t="shared" si="56"/>
        <v>4.5549330865626397E-7</v>
      </c>
      <c r="AG107" s="517"/>
      <c r="AH107" s="518"/>
      <c r="AI107" s="513" t="s">
        <v>210</v>
      </c>
      <c r="AJ107" s="526" t="s">
        <v>96</v>
      </c>
      <c r="AK107" s="512" t="s">
        <v>156</v>
      </c>
      <c r="AL107" s="513">
        <v>40</v>
      </c>
      <c r="AM107" s="513">
        <v>0</v>
      </c>
      <c r="AN107" s="514">
        <v>200</v>
      </c>
      <c r="AP107" s="517"/>
      <c r="AQ107" s="518"/>
      <c r="AR107" s="515" t="s">
        <v>304</v>
      </c>
      <c r="AS107" s="526" t="s">
        <v>96</v>
      </c>
      <c r="AT107" s="516" t="s">
        <v>14</v>
      </c>
      <c r="AU107" s="513">
        <v>50</v>
      </c>
      <c r="AV107" s="513">
        <v>0</v>
      </c>
      <c r="AW107" s="541">
        <f>IF($AP$102&gt;AU107,(AU107*4)+$V$148,$V$148)</f>
        <v>153</v>
      </c>
    </row>
    <row r="108" spans="1:54" hidden="1" x14ac:dyDescent="0.3">
      <c r="B108" s="561" t="s">
        <v>236</v>
      </c>
      <c r="C108" s="561"/>
      <c r="D108" s="561"/>
      <c r="E108" s="561"/>
      <c r="G108" s="502">
        <v>13</v>
      </c>
      <c r="H108" s="517"/>
      <c r="I108" s="518"/>
      <c r="J108" s="505" t="s">
        <v>304</v>
      </c>
      <c r="K108" s="525" t="s">
        <v>96</v>
      </c>
      <c r="L108" s="507" t="s">
        <v>14</v>
      </c>
      <c r="M108" s="508">
        <v>50</v>
      </c>
      <c r="N108" s="508">
        <v>0</v>
      </c>
      <c r="O108" s="509">
        <f>IF($AP$102&gt;M108,(M108*4)+$V$148,$V$148)</f>
        <v>153</v>
      </c>
      <c r="P108" s="258"/>
      <c r="W108" s="357">
        <v>20</v>
      </c>
      <c r="X108" s="357">
        <v>3</v>
      </c>
      <c r="Y108" s="357">
        <v>-4</v>
      </c>
      <c r="Z108" s="374">
        <v>-3.1679644845054002E-5</v>
      </c>
      <c r="AA108" s="375"/>
      <c r="AB108" s="375"/>
      <c r="AC108" s="376">
        <f t="shared" si="55"/>
        <v>1.5557872652983832E-4</v>
      </c>
      <c r="AD108" s="376">
        <f t="shared" si="56"/>
        <v>7.5440326038403533E-5</v>
      </c>
      <c r="AG108" s="529">
        <v>50</v>
      </c>
      <c r="AH108" s="530">
        <v>10</v>
      </c>
      <c r="AI108" s="513" t="s">
        <v>215</v>
      </c>
      <c r="AJ108" s="526" t="s">
        <v>95</v>
      </c>
      <c r="AK108" s="512" t="s">
        <v>6</v>
      </c>
      <c r="AL108" s="513">
        <v>20</v>
      </c>
      <c r="AM108" s="513">
        <v>36.86989764584402</v>
      </c>
      <c r="AN108" s="514">
        <v>191</v>
      </c>
      <c r="AP108" s="517">
        <v>65</v>
      </c>
      <c r="AQ108" s="518">
        <v>7</v>
      </c>
      <c r="AR108" s="495" t="s">
        <v>295</v>
      </c>
      <c r="AS108" s="526" t="s">
        <v>96</v>
      </c>
      <c r="AT108" s="516" t="s">
        <v>306</v>
      </c>
      <c r="AU108" s="513">
        <v>15</v>
      </c>
      <c r="AV108" s="513" t="s">
        <v>317</v>
      </c>
      <c r="AW108" s="499">
        <f>IF($AP$108&gt;AU108,(AU108*4)+$V$138,$V$138)</f>
        <v>150</v>
      </c>
    </row>
    <row r="109" spans="1:54" ht="12.9" hidden="1" thickBot="1" x14ac:dyDescent="0.35">
      <c r="B109" s="562" t="s">
        <v>1</v>
      </c>
      <c r="C109" s="562" t="s">
        <v>200</v>
      </c>
      <c r="D109" s="562" t="s">
        <v>232</v>
      </c>
      <c r="E109" s="562" t="s">
        <v>0</v>
      </c>
      <c r="G109" s="486">
        <v>14</v>
      </c>
      <c r="H109" s="517">
        <v>65</v>
      </c>
      <c r="I109" s="518">
        <v>7</v>
      </c>
      <c r="J109" s="519" t="s">
        <v>295</v>
      </c>
      <c r="K109" s="525" t="s">
        <v>96</v>
      </c>
      <c r="L109" s="507" t="s">
        <v>306</v>
      </c>
      <c r="M109" s="508">
        <v>15</v>
      </c>
      <c r="N109" s="508" t="s">
        <v>317</v>
      </c>
      <c r="O109" s="509">
        <f>IF($AP$108&gt;M109,(M109*4)+$V$138,$V$138)</f>
        <v>150</v>
      </c>
      <c r="P109" s="258"/>
      <c r="W109" s="357">
        <v>21</v>
      </c>
      <c r="X109" s="357">
        <v>3</v>
      </c>
      <c r="Y109" s="357">
        <v>0</v>
      </c>
      <c r="Z109" s="374">
        <v>-2.8270797985312E-6</v>
      </c>
      <c r="AA109" s="375"/>
      <c r="AB109" s="375"/>
      <c r="AC109" s="376">
        <f t="shared" si="55"/>
        <v>4.2255248246437864E-4</v>
      </c>
      <c r="AD109" s="376">
        <f t="shared" si="56"/>
        <v>4.2397429609631021E-4</v>
      </c>
      <c r="AG109" s="517"/>
      <c r="AH109" s="518"/>
      <c r="AI109" s="513" t="s">
        <v>216</v>
      </c>
      <c r="AJ109" s="526" t="s">
        <v>96</v>
      </c>
      <c r="AK109" s="512" t="s">
        <v>6</v>
      </c>
      <c r="AL109" s="513">
        <v>20</v>
      </c>
      <c r="AM109" s="513">
        <v>36.86989764584402</v>
      </c>
      <c r="AN109" s="514">
        <v>191</v>
      </c>
      <c r="AP109" s="517"/>
      <c r="AQ109" s="518"/>
      <c r="AR109" s="515" t="s">
        <v>296</v>
      </c>
      <c r="AS109" s="526" t="s">
        <v>96</v>
      </c>
      <c r="AT109" s="516" t="s">
        <v>307</v>
      </c>
      <c r="AU109" s="513">
        <v>20</v>
      </c>
      <c r="AV109" s="513" t="s">
        <v>318</v>
      </c>
      <c r="AW109" s="514">
        <f>IF($AP$108&gt;AU109,(AU109*4)+$V$140,$V$140)</f>
        <v>195</v>
      </c>
    </row>
    <row r="110" spans="1:54" ht="12.9" hidden="1" thickBot="1" x14ac:dyDescent="0.35">
      <c r="A110" s="6">
        <v>1.6E-2</v>
      </c>
      <c r="B110" s="563" t="s">
        <v>243</v>
      </c>
      <c r="C110" s="564">
        <v>0.04</v>
      </c>
      <c r="D110" s="564">
        <v>0.06</v>
      </c>
      <c r="E110" s="565">
        <v>6</v>
      </c>
      <c r="F110" s="549" t="s">
        <v>131</v>
      </c>
      <c r="G110" s="486"/>
      <c r="H110" s="517"/>
      <c r="I110" s="518"/>
      <c r="J110" s="505" t="s">
        <v>296</v>
      </c>
      <c r="K110" s="525" t="s">
        <v>96</v>
      </c>
      <c r="L110" s="507" t="s">
        <v>307</v>
      </c>
      <c r="M110" s="508">
        <v>20</v>
      </c>
      <c r="N110" s="508" t="s">
        <v>358</v>
      </c>
      <c r="O110" s="509">
        <f>IF($AP$108&gt;M110,(M110*4)+$V$140,$V$140)</f>
        <v>195</v>
      </c>
      <c r="P110" s="258"/>
      <c r="Q110" s="566" t="s">
        <v>129</v>
      </c>
      <c r="U110" s="258"/>
      <c r="W110" s="357">
        <v>22</v>
      </c>
      <c r="X110" s="357">
        <v>3</v>
      </c>
      <c r="Y110" s="357">
        <v>6</v>
      </c>
      <c r="Z110" s="374">
        <v>-8.5205128120103004E-10</v>
      </c>
      <c r="AA110" s="375"/>
      <c r="AB110" s="375"/>
      <c r="AC110" s="376">
        <f t="shared" si="55"/>
        <v>2.138293654413362E-5</v>
      </c>
      <c r="AD110" s="376">
        <f t="shared" si="56"/>
        <v>6.3860822298248741E-5</v>
      </c>
      <c r="AG110" s="517"/>
      <c r="AH110" s="518"/>
      <c r="AI110" s="538" t="s">
        <v>217</v>
      </c>
      <c r="AJ110" s="539" t="s">
        <v>95</v>
      </c>
      <c r="AK110" s="540" t="s">
        <v>170</v>
      </c>
      <c r="AL110" s="538">
        <v>25</v>
      </c>
      <c r="AM110" s="538">
        <v>18.680052345610633</v>
      </c>
      <c r="AN110" s="541">
        <v>300</v>
      </c>
      <c r="AP110" s="517"/>
      <c r="AQ110" s="518"/>
      <c r="AR110" s="515" t="s">
        <v>298</v>
      </c>
      <c r="AS110" s="539" t="s">
        <v>96</v>
      </c>
      <c r="AT110" s="542" t="s">
        <v>171</v>
      </c>
      <c r="AU110" s="538">
        <v>25</v>
      </c>
      <c r="AV110" s="513">
        <v>26.48103983037441</v>
      </c>
      <c r="AW110" s="499">
        <f>IF($AP$108&gt;AU110,(AU110*4)+$V$142,$V$142)</f>
        <v>220</v>
      </c>
    </row>
    <row r="111" spans="1:54" ht="12.9" hidden="1" thickBot="1" x14ac:dyDescent="0.35">
      <c r="A111" s="6">
        <v>9.5999999999999992E-3</v>
      </c>
      <c r="B111" s="567" t="s">
        <v>244</v>
      </c>
      <c r="C111" s="568">
        <v>2.4E-2</v>
      </c>
      <c r="D111" s="568">
        <v>0.06</v>
      </c>
      <c r="E111" s="569">
        <v>6</v>
      </c>
      <c r="G111" s="486"/>
      <c r="H111" s="517"/>
      <c r="I111" s="518"/>
      <c r="J111" s="505" t="s">
        <v>298</v>
      </c>
      <c r="K111" s="525" t="s">
        <v>96</v>
      </c>
      <c r="L111" s="507" t="s">
        <v>171</v>
      </c>
      <c r="M111" s="508">
        <v>25</v>
      </c>
      <c r="N111" s="534" t="s">
        <v>361</v>
      </c>
      <c r="O111" s="509">
        <f>IF($AP$108&gt;M111,(M111*4)+$V$142,$V$142)</f>
        <v>220</v>
      </c>
      <c r="P111" s="258"/>
      <c r="Q111" s="825" t="s">
        <v>100</v>
      </c>
      <c r="R111" s="825"/>
      <c r="S111" s="825"/>
      <c r="T111" s="825"/>
      <c r="U111" s="258"/>
      <c r="W111" s="357">
        <v>23</v>
      </c>
      <c r="X111" s="357">
        <v>4</v>
      </c>
      <c r="Y111" s="357">
        <v>-5</v>
      </c>
      <c r="Z111" s="374">
        <v>-2.2425281907999999E-6</v>
      </c>
      <c r="AA111" s="375"/>
      <c r="AB111" s="375"/>
      <c r="AC111" s="376">
        <f t="shared" si="55"/>
        <v>4.4127980569451909E-5</v>
      </c>
      <c r="AD111" s="376">
        <f t="shared" si="56"/>
        <v>1.7870859947547514E-5</v>
      </c>
      <c r="AG111" s="517"/>
      <c r="AH111" s="518"/>
      <c r="AI111" s="538" t="s">
        <v>218</v>
      </c>
      <c r="AJ111" s="539" t="s">
        <v>96</v>
      </c>
      <c r="AK111" s="540" t="s">
        <v>170</v>
      </c>
      <c r="AL111" s="538">
        <v>25</v>
      </c>
      <c r="AM111" s="538">
        <v>18.680052345610633</v>
      </c>
      <c r="AN111" s="541">
        <v>300</v>
      </c>
      <c r="AP111" s="517"/>
      <c r="AQ111" s="518"/>
      <c r="AR111" s="515" t="s">
        <v>300</v>
      </c>
      <c r="AS111" s="539" t="s">
        <v>96</v>
      </c>
      <c r="AT111" s="542" t="s">
        <v>10</v>
      </c>
      <c r="AU111" s="538">
        <v>32</v>
      </c>
      <c r="AV111" s="513">
        <v>33.398488467987242</v>
      </c>
      <c r="AW111" s="541">
        <f>IF($AP$108&gt;AU111,(AU111*4)+$V$144,$V$144)</f>
        <v>256</v>
      </c>
    </row>
    <row r="112" spans="1:54" ht="12.9" hidden="1" thickBot="1" x14ac:dyDescent="0.35">
      <c r="A112" s="6">
        <v>9.5999999999999992E-3</v>
      </c>
      <c r="B112" s="570" t="s">
        <v>245</v>
      </c>
      <c r="C112" s="571">
        <v>1.2999999999999999E-2</v>
      </c>
      <c r="D112" s="571">
        <v>0.06</v>
      </c>
      <c r="E112" s="572">
        <v>6</v>
      </c>
      <c r="G112" s="502">
        <v>15</v>
      </c>
      <c r="H112" s="517"/>
      <c r="I112" s="518"/>
      <c r="J112" s="505" t="s">
        <v>300</v>
      </c>
      <c r="K112" s="525" t="s">
        <v>96</v>
      </c>
      <c r="L112" s="507" t="s">
        <v>10</v>
      </c>
      <c r="M112" s="508">
        <v>32</v>
      </c>
      <c r="N112" s="534" t="s">
        <v>367</v>
      </c>
      <c r="O112" s="509">
        <f>IF($AP$108&gt;M112,(M112*4)+$V$144,$V$144)</f>
        <v>256</v>
      </c>
      <c r="P112" s="258"/>
      <c r="Q112" s="573">
        <v>20</v>
      </c>
      <c r="R112" s="574">
        <v>2.3193473193473669E-4</v>
      </c>
      <c r="S112" s="574">
        <v>9.7025641025641051E-3</v>
      </c>
      <c r="T112" s="574">
        <v>-3.9440559440559475E-4</v>
      </c>
      <c r="U112" s="258"/>
      <c r="W112" s="357">
        <v>24</v>
      </c>
      <c r="X112" s="357">
        <v>4</v>
      </c>
      <c r="Y112" s="357">
        <v>-2</v>
      </c>
      <c r="Z112" s="374">
        <v>-6.5171222895601002E-7</v>
      </c>
      <c r="AA112" s="375"/>
      <c r="AB112" s="375"/>
      <c r="AC112" s="376">
        <f t="shared" si="55"/>
        <v>1.6617340689370125E-4</v>
      </c>
      <c r="AD112" s="376">
        <f t="shared" si="56"/>
        <v>1.1610396902256198E-4</v>
      </c>
      <c r="AG112" s="517"/>
      <c r="AH112" s="518"/>
      <c r="AI112" s="513" t="s">
        <v>207</v>
      </c>
      <c r="AJ112" s="526" t="s">
        <v>95</v>
      </c>
      <c r="AK112" s="512" t="s">
        <v>9</v>
      </c>
      <c r="AL112" s="513">
        <v>32</v>
      </c>
      <c r="AM112" s="513">
        <v>22.619864948040426</v>
      </c>
      <c r="AN112" s="514">
        <v>256</v>
      </c>
      <c r="AP112" s="517"/>
      <c r="AQ112" s="518"/>
      <c r="AR112" s="515" t="s">
        <v>302</v>
      </c>
      <c r="AS112" s="526" t="s">
        <v>96</v>
      </c>
      <c r="AT112" s="516" t="s">
        <v>158</v>
      </c>
      <c r="AU112" s="513">
        <v>40</v>
      </c>
      <c r="AV112" s="538">
        <v>20.249343310795634</v>
      </c>
      <c r="AW112" s="541">
        <f>IF($AP$108&gt;AU112,(AU112*4)+$V$146,$V$146)</f>
        <v>346</v>
      </c>
    </row>
    <row r="113" spans="1:49" hidden="1" x14ac:dyDescent="0.3">
      <c r="A113" s="6">
        <v>3.2000000000000001E-2</v>
      </c>
      <c r="B113" s="575" t="s">
        <v>246</v>
      </c>
      <c r="C113" s="576">
        <v>0.08</v>
      </c>
      <c r="D113" s="576">
        <v>0.12</v>
      </c>
      <c r="E113" s="577">
        <v>12</v>
      </c>
      <c r="G113" s="486">
        <v>16</v>
      </c>
      <c r="H113" s="517"/>
      <c r="I113" s="518"/>
      <c r="J113" s="505" t="s">
        <v>302</v>
      </c>
      <c r="K113" s="525" t="s">
        <v>96</v>
      </c>
      <c r="L113" s="507" t="s">
        <v>158</v>
      </c>
      <c r="M113" s="508">
        <v>40</v>
      </c>
      <c r="N113" s="508" t="s">
        <v>366</v>
      </c>
      <c r="O113" s="509">
        <f>IF($AP$108&gt;M113,(M113*4)+$V$146,$V$146)</f>
        <v>346</v>
      </c>
      <c r="P113" s="258"/>
      <c r="Q113" s="578">
        <v>25</v>
      </c>
      <c r="R113" s="574">
        <v>1.7598290598290689E-3</v>
      </c>
      <c r="S113" s="574">
        <v>2.5531468531468492E-3</v>
      </c>
      <c r="T113" s="574">
        <v>-4.4910644910644529E-5</v>
      </c>
      <c r="U113" s="258"/>
      <c r="W113" s="357">
        <v>25</v>
      </c>
      <c r="X113" s="357">
        <v>4</v>
      </c>
      <c r="Y113" s="357">
        <v>10</v>
      </c>
      <c r="Z113" s="374">
        <v>-1.4341729937923999E-13</v>
      </c>
      <c r="AA113" s="375"/>
      <c r="AB113" s="375"/>
      <c r="AC113" s="376">
        <f t="shared" si="55"/>
        <v>1.0309206526252413E-6</v>
      </c>
      <c r="AD113" s="376">
        <f t="shared" si="56"/>
        <v>6.3815673985494293E-6</v>
      </c>
      <c r="AG113" s="517"/>
      <c r="AH113" s="518"/>
      <c r="AI113" s="513" t="s">
        <v>208</v>
      </c>
      <c r="AJ113" s="526" t="s">
        <v>96</v>
      </c>
      <c r="AK113" s="512" t="s">
        <v>9</v>
      </c>
      <c r="AL113" s="513">
        <v>32</v>
      </c>
      <c r="AM113" s="513">
        <v>22.619864948040426</v>
      </c>
      <c r="AN113" s="514">
        <v>256</v>
      </c>
      <c r="AP113" s="517"/>
      <c r="AQ113" s="518"/>
      <c r="AR113" s="515" t="s">
        <v>304</v>
      </c>
      <c r="AS113" s="526" t="s">
        <v>96</v>
      </c>
      <c r="AT113" s="516" t="s">
        <v>15</v>
      </c>
      <c r="AU113" s="513">
        <v>50</v>
      </c>
      <c r="AV113" s="513">
        <v>12.231007132570813</v>
      </c>
      <c r="AW113" s="541">
        <f>IF($AP$108&gt;AU113,(AU113*4)+$V$148,$V$148)</f>
        <v>353</v>
      </c>
    </row>
    <row r="114" spans="1:49" hidden="1" x14ac:dyDescent="0.3">
      <c r="A114" s="6">
        <v>1.9E-2</v>
      </c>
      <c r="B114" s="579" t="s">
        <v>247</v>
      </c>
      <c r="C114" s="580">
        <v>4.8000000000000001E-2</v>
      </c>
      <c r="D114" s="580">
        <v>0.12</v>
      </c>
      <c r="E114" s="581">
        <v>12</v>
      </c>
      <c r="G114" s="502">
        <v>17</v>
      </c>
      <c r="H114" s="517"/>
      <c r="I114" s="518"/>
      <c r="J114" s="505" t="s">
        <v>304</v>
      </c>
      <c r="K114" s="525" t="s">
        <v>96</v>
      </c>
      <c r="L114" s="507" t="s">
        <v>15</v>
      </c>
      <c r="M114" s="508">
        <v>50</v>
      </c>
      <c r="N114" s="508" t="s">
        <v>313</v>
      </c>
      <c r="O114" s="509">
        <f>IF($AP$108&gt;M114,(M114*4)+$V$148,$V$148)</f>
        <v>353</v>
      </c>
      <c r="P114" s="258"/>
      <c r="Q114" s="582">
        <v>32</v>
      </c>
      <c r="R114" s="574">
        <v>1.7598290598290689E-3</v>
      </c>
      <c r="S114" s="574">
        <v>2.5531468531468492E-3</v>
      </c>
      <c r="T114" s="574">
        <v>-4.4910644910644529E-5</v>
      </c>
      <c r="W114" s="357">
        <v>26</v>
      </c>
      <c r="X114" s="357">
        <v>5</v>
      </c>
      <c r="Y114" s="357">
        <v>-8</v>
      </c>
      <c r="Z114" s="374">
        <v>-4.0516996860117E-7</v>
      </c>
      <c r="AA114" s="375"/>
      <c r="AB114" s="375"/>
      <c r="AC114" s="376">
        <f t="shared" si="55"/>
        <v>5.4288089586135179E-6</v>
      </c>
      <c r="AD114" s="376">
        <f t="shared" si="56"/>
        <v>1.2764718674668421E-6</v>
      </c>
      <c r="AG114" s="517"/>
      <c r="AH114" s="518"/>
      <c r="AI114" s="513" t="s">
        <v>209</v>
      </c>
      <c r="AJ114" s="526" t="s">
        <v>95</v>
      </c>
      <c r="AK114" s="512" t="s">
        <v>157</v>
      </c>
      <c r="AL114" s="513">
        <v>40</v>
      </c>
      <c r="AM114" s="538">
        <v>9.5272833814523548</v>
      </c>
      <c r="AN114" s="541">
        <v>360</v>
      </c>
      <c r="AP114" s="517"/>
      <c r="AQ114" s="518"/>
      <c r="AR114" s="515" t="s">
        <v>308</v>
      </c>
      <c r="AS114" s="526" t="s">
        <v>96</v>
      </c>
      <c r="AT114" s="516" t="s">
        <v>190</v>
      </c>
      <c r="AU114" s="513">
        <v>65</v>
      </c>
      <c r="AV114" s="538">
        <v>0</v>
      </c>
      <c r="AW114" s="541">
        <f>IF($AP$108&gt;AU114,(AU114*4)+$V$150,$V$150)</f>
        <v>200</v>
      </c>
    </row>
    <row r="115" spans="1:49" ht="12.9" hidden="1" thickBot="1" x14ac:dyDescent="0.35">
      <c r="A115" s="6">
        <v>1.9E-2</v>
      </c>
      <c r="B115" s="583" t="s">
        <v>248</v>
      </c>
      <c r="C115" s="584">
        <v>2.7E-2</v>
      </c>
      <c r="D115" s="584">
        <v>0.12</v>
      </c>
      <c r="E115" s="585">
        <v>12</v>
      </c>
      <c r="G115" s="486">
        <v>18</v>
      </c>
      <c r="H115" s="517"/>
      <c r="I115" s="518"/>
      <c r="J115" s="505" t="s">
        <v>308</v>
      </c>
      <c r="K115" s="525" t="s">
        <v>96</v>
      </c>
      <c r="L115" s="507" t="s">
        <v>190</v>
      </c>
      <c r="M115" s="508">
        <v>65</v>
      </c>
      <c r="N115" s="508">
        <v>0</v>
      </c>
      <c r="O115" s="509">
        <f>IF($AP$108&gt;M115,(M115*4)+$V$150,$V$150)</f>
        <v>200</v>
      </c>
      <c r="P115" s="258"/>
      <c r="Q115" s="582">
        <v>40</v>
      </c>
      <c r="R115" s="574">
        <v>1.1763791763791801E-3</v>
      </c>
      <c r="S115" s="574">
        <v>1.3939393939393929E-3</v>
      </c>
      <c r="T115" s="574">
        <v>3.1080031080031988E-6</v>
      </c>
      <c r="W115" s="357">
        <v>27</v>
      </c>
      <c r="X115" s="357">
        <v>8</v>
      </c>
      <c r="Y115" s="357">
        <v>-11</v>
      </c>
      <c r="Z115" s="374">
        <v>-1.2734301741640999E-9</v>
      </c>
      <c r="AA115" s="375"/>
      <c r="AB115" s="375"/>
      <c r="AC115" s="376">
        <f t="shared" si="55"/>
        <v>7.4090908807171321E-7</v>
      </c>
      <c r="AD115" s="376">
        <f t="shared" si="56"/>
        <v>1.0148591499429698E-7</v>
      </c>
      <c r="AG115" s="517"/>
      <c r="AH115" s="518"/>
      <c r="AI115" s="513" t="s">
        <v>210</v>
      </c>
      <c r="AJ115" s="526" t="s">
        <v>96</v>
      </c>
      <c r="AK115" s="512" t="s">
        <v>157</v>
      </c>
      <c r="AL115" s="513">
        <v>40</v>
      </c>
      <c r="AM115" s="538">
        <v>9.5272833814523548</v>
      </c>
      <c r="AN115" s="541">
        <v>360</v>
      </c>
      <c r="AP115" s="517">
        <v>80</v>
      </c>
      <c r="AQ115" s="518">
        <v>5</v>
      </c>
      <c r="AR115" s="515" t="s">
        <v>300</v>
      </c>
      <c r="AS115" s="526" t="s">
        <v>96</v>
      </c>
      <c r="AT115" s="516" t="s">
        <v>11</v>
      </c>
      <c r="AU115" s="513">
        <v>32</v>
      </c>
      <c r="AV115" s="513">
        <v>25.750003119224949</v>
      </c>
      <c r="AW115" s="541">
        <f>IF($AP$115&gt;AU115,(AU115*4)+$V$144,$V$144)</f>
        <v>256</v>
      </c>
    </row>
    <row r="116" spans="1:49" hidden="1" x14ac:dyDescent="0.3">
      <c r="A116" s="6">
        <v>4.8000000000000001E-2</v>
      </c>
      <c r="B116" s="586" t="s">
        <v>249</v>
      </c>
      <c r="C116" s="587">
        <v>0.12</v>
      </c>
      <c r="D116" s="587">
        <v>0.18</v>
      </c>
      <c r="E116" s="588">
        <v>18</v>
      </c>
      <c r="G116" s="502">
        <v>19</v>
      </c>
      <c r="H116" s="517">
        <v>80</v>
      </c>
      <c r="I116" s="518">
        <v>5</v>
      </c>
      <c r="J116" s="505" t="s">
        <v>300</v>
      </c>
      <c r="K116" s="525" t="s">
        <v>96</v>
      </c>
      <c r="L116" s="507" t="s">
        <v>11</v>
      </c>
      <c r="M116" s="508">
        <v>32</v>
      </c>
      <c r="N116" s="534" t="s">
        <v>364</v>
      </c>
      <c r="O116" s="509">
        <f>IF($AP$115&gt;M116,(M116*4)+$V$144,$V$144)</f>
        <v>256</v>
      </c>
      <c r="P116" s="258"/>
      <c r="Q116" s="582">
        <v>50</v>
      </c>
      <c r="R116" s="574">
        <v>1.1763791763791801E-3</v>
      </c>
      <c r="S116" s="574">
        <v>1.3939393939393929E-3</v>
      </c>
      <c r="T116" s="574">
        <v>3.1080031080031988E-6</v>
      </c>
      <c r="W116" s="357">
        <v>28</v>
      </c>
      <c r="X116" s="357">
        <v>8</v>
      </c>
      <c r="Y116" s="357">
        <v>-6</v>
      </c>
      <c r="Z116" s="374">
        <v>-1.7424871230634001E-10</v>
      </c>
      <c r="AA116" s="375"/>
      <c r="AB116" s="375"/>
      <c r="AC116" s="376">
        <f t="shared" si="55"/>
        <v>7.2472829174989996E-6</v>
      </c>
      <c r="AD116" s="376">
        <f t="shared" si="56"/>
        <v>2.4636157546215822E-6</v>
      </c>
      <c r="AG116" s="517"/>
      <c r="AH116" s="518"/>
      <c r="AI116" s="513" t="s">
        <v>211</v>
      </c>
      <c r="AJ116" s="526" t="s">
        <v>95</v>
      </c>
      <c r="AK116" s="512" t="s">
        <v>14</v>
      </c>
      <c r="AL116" s="513">
        <v>50</v>
      </c>
      <c r="AM116" s="513">
        <v>0</v>
      </c>
      <c r="AN116" s="514">
        <v>153</v>
      </c>
      <c r="AP116" s="517"/>
      <c r="AQ116" s="518"/>
      <c r="AR116" s="515" t="s">
        <v>302</v>
      </c>
      <c r="AS116" s="526" t="s">
        <v>96</v>
      </c>
      <c r="AT116" s="516" t="s">
        <v>159</v>
      </c>
      <c r="AU116" s="513">
        <v>40</v>
      </c>
      <c r="AV116" s="538">
        <v>29.862834356275101</v>
      </c>
      <c r="AW116" s="541">
        <f>IF($AP$115&gt;AU116,(AU116*4)+$V$146,$V$146)</f>
        <v>346</v>
      </c>
    </row>
    <row r="117" spans="1:49" hidden="1" x14ac:dyDescent="0.3">
      <c r="A117" s="6">
        <v>2.9000000000000001E-2</v>
      </c>
      <c r="B117" s="589" t="s">
        <v>250</v>
      </c>
      <c r="C117" s="590">
        <v>7.1999999999999995E-2</v>
      </c>
      <c r="D117" s="590">
        <v>0.18</v>
      </c>
      <c r="E117" s="591">
        <v>18</v>
      </c>
      <c r="G117" s="486">
        <v>20</v>
      </c>
      <c r="H117" s="517"/>
      <c r="I117" s="518"/>
      <c r="J117" s="505" t="s">
        <v>302</v>
      </c>
      <c r="K117" s="525" t="s">
        <v>96</v>
      </c>
      <c r="L117" s="507" t="s">
        <v>159</v>
      </c>
      <c r="M117" s="508">
        <v>40</v>
      </c>
      <c r="N117" s="508" t="s">
        <v>368</v>
      </c>
      <c r="O117" s="509">
        <f>IF($AP$115&gt;M117,(M117*4)+$V$146,$V$146)</f>
        <v>346</v>
      </c>
      <c r="P117" s="258"/>
      <c r="Q117" s="582">
        <v>65</v>
      </c>
      <c r="R117" s="574">
        <v>6.2315462315462415E-4</v>
      </c>
      <c r="S117" s="574">
        <v>1.7424242424242419E-3</v>
      </c>
      <c r="T117" s="574">
        <v>-4.1802641802641798E-5</v>
      </c>
      <c r="W117" s="357">
        <v>29</v>
      </c>
      <c r="X117" s="357">
        <v>21</v>
      </c>
      <c r="Y117" s="357">
        <v>-29</v>
      </c>
      <c r="Z117" s="374">
        <v>-6.8762131295530996E-19</v>
      </c>
      <c r="AA117" s="375"/>
      <c r="AB117" s="375"/>
      <c r="AC117" s="376">
        <f t="shared" si="55"/>
        <v>2.3951352037977568E-11</v>
      </c>
      <c r="AD117" s="376">
        <f t="shared" si="56"/>
        <v>1.2715360397456955E-13</v>
      </c>
      <c r="AG117" s="544"/>
      <c r="AH117" s="545"/>
      <c r="AI117" s="513" t="s">
        <v>212</v>
      </c>
      <c r="AJ117" s="526" t="s">
        <v>96</v>
      </c>
      <c r="AK117" s="512" t="s">
        <v>14</v>
      </c>
      <c r="AL117" s="513">
        <v>50</v>
      </c>
      <c r="AM117" s="513">
        <v>0</v>
      </c>
      <c r="AN117" s="514">
        <v>153</v>
      </c>
      <c r="AP117" s="517"/>
      <c r="AQ117" s="518"/>
      <c r="AR117" s="515" t="s">
        <v>304</v>
      </c>
      <c r="AS117" s="526" t="s">
        <v>96</v>
      </c>
      <c r="AT117" s="516" t="s">
        <v>16</v>
      </c>
      <c r="AU117" s="513">
        <v>50</v>
      </c>
      <c r="AV117" s="513">
        <v>22.619864948040426</v>
      </c>
      <c r="AW117" s="541">
        <f>IF($AP$115&gt;AU117,(AU117*4)+$V$148,$V$148)</f>
        <v>353</v>
      </c>
    </row>
    <row r="118" spans="1:49" ht="12.9" hidden="1" thickBot="1" x14ac:dyDescent="0.35">
      <c r="A118" s="6">
        <v>2.9000000000000001E-2</v>
      </c>
      <c r="B118" s="592" t="s">
        <v>251</v>
      </c>
      <c r="C118" s="593">
        <v>0.04</v>
      </c>
      <c r="D118" s="593">
        <v>0.18</v>
      </c>
      <c r="E118" s="594">
        <v>18</v>
      </c>
      <c r="G118" s="486"/>
      <c r="H118" s="517"/>
      <c r="I118" s="518"/>
      <c r="J118" s="505" t="s">
        <v>304</v>
      </c>
      <c r="K118" s="525" t="s">
        <v>96</v>
      </c>
      <c r="L118" s="507" t="s">
        <v>16</v>
      </c>
      <c r="M118" s="508">
        <v>50</v>
      </c>
      <c r="N118" s="508" t="s">
        <v>369</v>
      </c>
      <c r="O118" s="509">
        <f>IF($AP$115&gt;M118,(M118*4)+$V$148,$V$148)</f>
        <v>353</v>
      </c>
      <c r="P118" s="258"/>
      <c r="Q118" s="582">
        <v>80</v>
      </c>
      <c r="R118" s="574">
        <v>6.2315462315462415E-4</v>
      </c>
      <c r="S118" s="574">
        <v>1.7424242424242419E-3</v>
      </c>
      <c r="T118" s="574">
        <v>-4.1802641802641798E-5</v>
      </c>
      <c r="W118" s="357">
        <v>30</v>
      </c>
      <c r="X118" s="357">
        <v>23</v>
      </c>
      <c r="Y118" s="357">
        <v>-31</v>
      </c>
      <c r="Z118" s="374">
        <v>1.4478307828521001E-20</v>
      </c>
      <c r="AA118" s="375"/>
      <c r="AB118" s="375"/>
      <c r="AC118" s="376">
        <f t="shared" si="55"/>
        <v>-4.9881791950171773E-12</v>
      </c>
      <c r="AD118" s="376">
        <f t="shared" si="56"/>
        <v>-1.8471271592683196E-14</v>
      </c>
      <c r="AG118" s="529">
        <v>65</v>
      </c>
      <c r="AH118" s="530">
        <v>10</v>
      </c>
      <c r="AI118" s="513" t="s">
        <v>217</v>
      </c>
      <c r="AJ118" s="526" t="s">
        <v>95</v>
      </c>
      <c r="AK118" s="512" t="s">
        <v>171</v>
      </c>
      <c r="AL118" s="513">
        <v>25</v>
      </c>
      <c r="AM118" s="513">
        <v>26.48103983037441</v>
      </c>
      <c r="AN118" s="514">
        <v>300</v>
      </c>
      <c r="AP118" s="517"/>
      <c r="AQ118" s="518"/>
      <c r="AR118" s="515" t="s">
        <v>308</v>
      </c>
      <c r="AS118" s="526" t="s">
        <v>96</v>
      </c>
      <c r="AT118" s="516" t="s">
        <v>191</v>
      </c>
      <c r="AU118" s="513">
        <v>65</v>
      </c>
      <c r="AV118" s="538">
        <v>11.421186274999286</v>
      </c>
      <c r="AW118" s="541">
        <f>IF($AP$115&gt;AU118,(AU118*4)+$V$150,$V$150)</f>
        <v>460</v>
      </c>
    </row>
    <row r="119" spans="1:49" ht="12.9" hidden="1" thickBot="1" x14ac:dyDescent="0.35">
      <c r="A119" s="6">
        <v>0.08</v>
      </c>
      <c r="B119" s="595" t="s">
        <v>252</v>
      </c>
      <c r="C119" s="596">
        <v>0.2</v>
      </c>
      <c r="D119" s="596">
        <v>0.3</v>
      </c>
      <c r="E119" s="597">
        <v>30</v>
      </c>
      <c r="G119" s="486"/>
      <c r="H119" s="517"/>
      <c r="I119" s="518"/>
      <c r="J119" s="505" t="s">
        <v>308</v>
      </c>
      <c r="K119" s="525" t="s">
        <v>96</v>
      </c>
      <c r="L119" s="507" t="s">
        <v>191</v>
      </c>
      <c r="M119" s="508">
        <v>65</v>
      </c>
      <c r="N119" s="508" t="s">
        <v>371</v>
      </c>
      <c r="O119" s="509">
        <f>IF($AP$115&gt;M119,(M119*4)+$V$150,$V$150)</f>
        <v>460</v>
      </c>
      <c r="P119" s="258"/>
      <c r="Q119" s="598">
        <v>100</v>
      </c>
      <c r="R119" s="574">
        <v>5.158730158730156E-4</v>
      </c>
      <c r="S119" s="574">
        <v>1.1226190476190472E-3</v>
      </c>
      <c r="T119" s="574">
        <v>-2.7777777777776928E-6</v>
      </c>
      <c r="W119" s="357">
        <v>31</v>
      </c>
      <c r="X119" s="357">
        <v>29</v>
      </c>
      <c r="Y119" s="357">
        <v>-38</v>
      </c>
      <c r="Z119" s="374">
        <v>2.6335781662795E-23</v>
      </c>
      <c r="AA119" s="375"/>
      <c r="AB119" s="375"/>
      <c r="AC119" s="376">
        <f t="shared" si="55"/>
        <v>-3.5875868904865739E-12</v>
      </c>
      <c r="AD119" s="376">
        <f t="shared" si="56"/>
        <v>-3.7590154980877989E-15</v>
      </c>
      <c r="AG119" s="517"/>
      <c r="AH119" s="518"/>
      <c r="AI119" s="513" t="s">
        <v>218</v>
      </c>
      <c r="AJ119" s="526" t="s">
        <v>96</v>
      </c>
      <c r="AK119" s="512" t="s">
        <v>171</v>
      </c>
      <c r="AL119" s="513">
        <v>25</v>
      </c>
      <c r="AM119" s="513">
        <v>26.48103983037441</v>
      </c>
      <c r="AN119" s="514">
        <v>300</v>
      </c>
      <c r="AP119" s="517"/>
      <c r="AQ119" s="518"/>
      <c r="AR119" s="515" t="s">
        <v>310</v>
      </c>
      <c r="AS119" s="526" t="s">
        <v>96</v>
      </c>
      <c r="AT119" s="516" t="s">
        <v>192</v>
      </c>
      <c r="AU119" s="513">
        <v>80</v>
      </c>
      <c r="AV119" s="513">
        <v>0</v>
      </c>
      <c r="AW119" s="541">
        <f>IF($AP$115&gt;AU119,(AU119*4)+$V$151,$V$151)</f>
        <v>200</v>
      </c>
    </row>
    <row r="120" spans="1:49" hidden="1" x14ac:dyDescent="0.3">
      <c r="A120" s="6">
        <v>4.8000000000000001E-2</v>
      </c>
      <c r="B120" s="599" t="s">
        <v>253</v>
      </c>
      <c r="C120" s="600">
        <v>0.12</v>
      </c>
      <c r="D120" s="600">
        <v>0.3</v>
      </c>
      <c r="E120" s="601">
        <v>30</v>
      </c>
      <c r="G120" s="502">
        <v>21</v>
      </c>
      <c r="H120" s="517"/>
      <c r="I120" s="518"/>
      <c r="J120" s="505" t="s">
        <v>310</v>
      </c>
      <c r="K120" s="525" t="s">
        <v>96</v>
      </c>
      <c r="L120" s="507" t="s">
        <v>192</v>
      </c>
      <c r="M120" s="508">
        <v>80</v>
      </c>
      <c r="N120" s="508">
        <v>0</v>
      </c>
      <c r="O120" s="509">
        <f>IF($AP$115&gt;M120,(M120*4)+$V$151,$V$151)</f>
        <v>200</v>
      </c>
      <c r="P120" s="258"/>
      <c r="Q120" s="258"/>
      <c r="R120" s="484"/>
      <c r="S120" s="258"/>
      <c r="V120" s="258"/>
      <c r="W120" s="357">
        <v>32</v>
      </c>
      <c r="X120" s="357">
        <v>30</v>
      </c>
      <c r="Y120" s="357">
        <v>-39</v>
      </c>
      <c r="Z120" s="374">
        <v>-1.1947622640071E-23</v>
      </c>
      <c r="AA120" s="375"/>
      <c r="AB120" s="375"/>
      <c r="AC120" s="376">
        <f t="shared" si="55"/>
        <v>5.0597430971437439E-12</v>
      </c>
      <c r="AD120" s="376">
        <f t="shared" si="56"/>
        <v>4.427700210861992E-15</v>
      </c>
      <c r="AI120" s="513" t="s">
        <v>207</v>
      </c>
      <c r="AJ120" s="526" t="s">
        <v>95</v>
      </c>
      <c r="AK120" s="512" t="s">
        <v>10</v>
      </c>
      <c r="AL120" s="513">
        <v>32</v>
      </c>
      <c r="AM120" s="513">
        <v>33.398488467987242</v>
      </c>
      <c r="AN120" s="514">
        <v>256</v>
      </c>
      <c r="AP120" s="259">
        <v>100</v>
      </c>
      <c r="AQ120" s="602">
        <v>5</v>
      </c>
      <c r="AR120" s="515" t="s">
        <v>302</v>
      </c>
      <c r="AS120" s="526" t="s">
        <v>96</v>
      </c>
      <c r="AT120" s="516" t="s">
        <v>160</v>
      </c>
      <c r="AU120" s="513">
        <v>40</v>
      </c>
      <c r="AV120" s="538">
        <v>41.112090439166927</v>
      </c>
      <c r="AW120" s="541">
        <f>IF($AP$120&gt;AU120,(AU120*4)+$V$146,$V$146)</f>
        <v>346</v>
      </c>
    </row>
    <row r="121" spans="1:49" ht="12.9" hidden="1" thickBot="1" x14ac:dyDescent="0.35">
      <c r="A121" s="6">
        <v>4.8000000000000001E-2</v>
      </c>
      <c r="B121" s="603" t="s">
        <v>254</v>
      </c>
      <c r="C121" s="604">
        <v>6.7000000000000004E-2</v>
      </c>
      <c r="D121" s="604">
        <v>0.3</v>
      </c>
      <c r="E121" s="605">
        <v>30</v>
      </c>
      <c r="G121" s="486">
        <v>22</v>
      </c>
      <c r="H121" s="259">
        <v>100</v>
      </c>
      <c r="I121" s="602">
        <v>5</v>
      </c>
      <c r="J121" s="505" t="s">
        <v>302</v>
      </c>
      <c r="K121" s="525" t="s">
        <v>96</v>
      </c>
      <c r="L121" s="507" t="s">
        <v>160</v>
      </c>
      <c r="M121" s="508">
        <v>40</v>
      </c>
      <c r="N121" s="534" t="s">
        <v>369</v>
      </c>
      <c r="O121" s="509">
        <f>IF($AP$120&gt;M121,(M121*4)+$V$146,$V$146)</f>
        <v>346</v>
      </c>
      <c r="P121" s="258"/>
      <c r="Q121" s="258"/>
      <c r="R121" s="484"/>
      <c r="S121" s="258"/>
      <c r="V121" s="258"/>
      <c r="W121" s="357">
        <v>33</v>
      </c>
      <c r="X121" s="357">
        <v>31</v>
      </c>
      <c r="Y121" s="357">
        <v>-40</v>
      </c>
      <c r="Z121" s="374">
        <v>1.8228094581404E-24</v>
      </c>
      <c r="AA121" s="375"/>
      <c r="AB121" s="375"/>
      <c r="AC121" s="376">
        <f t="shared" si="55"/>
        <v>-2.3971553461865758E-12</v>
      </c>
      <c r="AD121" s="376">
        <f t="shared" si="56"/>
        <v>-1.7519591450029639E-15</v>
      </c>
      <c r="AG121" s="517"/>
      <c r="AH121" s="518"/>
      <c r="AI121" s="513" t="s">
        <v>208</v>
      </c>
      <c r="AJ121" s="526" t="s">
        <v>96</v>
      </c>
      <c r="AK121" s="512" t="s">
        <v>10</v>
      </c>
      <c r="AL121" s="513">
        <v>32</v>
      </c>
      <c r="AM121" s="513">
        <v>33.398488467987242</v>
      </c>
      <c r="AN121" s="514">
        <v>256</v>
      </c>
      <c r="AP121" s="517"/>
      <c r="AQ121" s="518"/>
      <c r="AR121" s="515" t="s">
        <v>304</v>
      </c>
      <c r="AS121" s="526" t="s">
        <v>96</v>
      </c>
      <c r="AT121" s="516" t="s">
        <v>12</v>
      </c>
      <c r="AU121" s="513">
        <v>50</v>
      </c>
      <c r="AV121" s="513">
        <v>34.708049272522651</v>
      </c>
      <c r="AW121" s="541">
        <f>IF($AP$120&gt;AU121,(AU121*4)+$V$148,$V$148)</f>
        <v>353</v>
      </c>
    </row>
    <row r="122" spans="1:49" hidden="1" x14ac:dyDescent="0.3">
      <c r="A122" s="6">
        <v>0.12</v>
      </c>
      <c r="B122" s="606" t="s">
        <v>255</v>
      </c>
      <c r="C122" s="607">
        <v>0.3</v>
      </c>
      <c r="D122" s="607">
        <v>0.45</v>
      </c>
      <c r="E122" s="608">
        <v>45</v>
      </c>
      <c r="G122" s="502">
        <v>23</v>
      </c>
      <c r="H122" s="517"/>
      <c r="I122" s="518"/>
      <c r="J122" s="505" t="s">
        <v>304</v>
      </c>
      <c r="K122" s="525" t="s">
        <v>96</v>
      </c>
      <c r="L122" s="507" t="s">
        <v>12</v>
      </c>
      <c r="M122" s="508">
        <v>50</v>
      </c>
      <c r="N122" s="508" t="s">
        <v>331</v>
      </c>
      <c r="O122" s="509">
        <f>IF($AP$120&gt;M122,(M122*4)+$V$148,$V$148)</f>
        <v>353</v>
      </c>
      <c r="P122" s="258"/>
      <c r="Q122" s="609" t="s">
        <v>414</v>
      </c>
      <c r="R122" s="610"/>
      <c r="S122" s="610"/>
      <c r="T122" s="610"/>
      <c r="U122" s="611"/>
      <c r="V122" s="258"/>
      <c r="W122" s="357">
        <v>34</v>
      </c>
      <c r="X122" s="357">
        <v>32</v>
      </c>
      <c r="Y122" s="357">
        <v>-41</v>
      </c>
      <c r="Z122" s="374">
        <v>-9.3537087292457998E-26</v>
      </c>
      <c r="AA122" s="375"/>
      <c r="AB122" s="375"/>
      <c r="AC122" s="376">
        <f t="shared" si="55"/>
        <v>3.8158784250722162E-13</v>
      </c>
      <c r="AD122" s="376">
        <f t="shared" si="56"/>
        <v>2.3291656597313538E-16</v>
      </c>
      <c r="AG122" s="517"/>
      <c r="AH122" s="518"/>
      <c r="AI122" s="513" t="s">
        <v>209</v>
      </c>
      <c r="AJ122" s="526" t="s">
        <v>95</v>
      </c>
      <c r="AK122" s="512" t="s">
        <v>158</v>
      </c>
      <c r="AL122" s="513">
        <v>40</v>
      </c>
      <c r="AM122" s="538">
        <v>20.249343310795634</v>
      </c>
      <c r="AN122" s="541">
        <v>360</v>
      </c>
      <c r="AP122" s="517"/>
      <c r="AQ122" s="518"/>
      <c r="AR122" s="515" t="s">
        <v>308</v>
      </c>
      <c r="AS122" s="526" t="s">
        <v>96</v>
      </c>
      <c r="AT122" s="516" t="s">
        <v>193</v>
      </c>
      <c r="AU122" s="513">
        <v>65</v>
      </c>
      <c r="AV122" s="538">
        <v>24.67817455665239</v>
      </c>
      <c r="AW122" s="541">
        <f>IF($AP$120&gt;AU122,(AU122*4)+$V$150,$V$150)</f>
        <v>460</v>
      </c>
    </row>
    <row r="123" spans="1:49" hidden="1" x14ac:dyDescent="0.3">
      <c r="A123" s="6">
        <v>7.1999999999999995E-2</v>
      </c>
      <c r="B123" s="612" t="s">
        <v>256</v>
      </c>
      <c r="C123" s="613">
        <v>0.18</v>
      </c>
      <c r="D123" s="613">
        <v>0.45</v>
      </c>
      <c r="E123" s="614">
        <v>45</v>
      </c>
      <c r="G123" s="486">
        <v>24</v>
      </c>
      <c r="H123" s="517"/>
      <c r="I123" s="518"/>
      <c r="J123" s="505" t="s">
        <v>308</v>
      </c>
      <c r="K123" s="525" t="s">
        <v>96</v>
      </c>
      <c r="L123" s="507" t="s">
        <v>193</v>
      </c>
      <c r="M123" s="508">
        <v>65</v>
      </c>
      <c r="N123" s="508" t="s">
        <v>314</v>
      </c>
      <c r="O123" s="509">
        <f>IF($AP$120&gt;M123,(M123*4)+$V$150,$V$150)</f>
        <v>460</v>
      </c>
      <c r="P123" s="258"/>
      <c r="Q123" s="615">
        <v>20</v>
      </c>
      <c r="R123" s="8">
        <v>50</v>
      </c>
      <c r="S123" s="8">
        <v>80</v>
      </c>
      <c r="T123" s="8">
        <v>100</v>
      </c>
      <c r="U123" s="616"/>
      <c r="V123" s="258"/>
      <c r="W123" s="375"/>
      <c r="X123" s="375"/>
      <c r="Y123" s="378" t="s">
        <v>151</v>
      </c>
      <c r="Z123" s="6">
        <v>0.46152599999999999</v>
      </c>
      <c r="AA123" s="375"/>
      <c r="AB123" s="375"/>
      <c r="AC123" s="379">
        <f>SUM(AC97:AC122)</f>
        <v>9.7403164375367515E-2</v>
      </c>
      <c r="AD123" s="379">
        <f>SUM(AD97:AD122)</f>
        <v>0.10672737641380697</v>
      </c>
      <c r="AG123" s="517"/>
      <c r="AH123" s="518"/>
      <c r="AI123" s="513" t="s">
        <v>210</v>
      </c>
      <c r="AJ123" s="526" t="s">
        <v>96</v>
      </c>
      <c r="AK123" s="512" t="s">
        <v>158</v>
      </c>
      <c r="AL123" s="513">
        <v>40</v>
      </c>
      <c r="AM123" s="538">
        <v>20.249343310795634</v>
      </c>
      <c r="AN123" s="541">
        <v>360</v>
      </c>
      <c r="AP123" s="517"/>
      <c r="AQ123" s="518"/>
      <c r="AR123" s="515" t="s">
        <v>310</v>
      </c>
      <c r="AS123" s="526" t="s">
        <v>96</v>
      </c>
      <c r="AT123" s="516" t="s">
        <v>194</v>
      </c>
      <c r="AU123" s="513">
        <v>80</v>
      </c>
      <c r="AV123" s="513">
        <v>14.250032697803595</v>
      </c>
      <c r="AW123" s="541">
        <f>IF($AP$120&gt;AU123,(AU123*4)+$V$151,$V$151)</f>
        <v>520</v>
      </c>
    </row>
    <row r="124" spans="1:49" ht="12.9" hidden="1" thickBot="1" x14ac:dyDescent="0.35">
      <c r="A124" s="6">
        <v>7.1999999999999995E-2</v>
      </c>
      <c r="B124" s="617" t="s">
        <v>257</v>
      </c>
      <c r="C124" s="618">
        <v>0.1</v>
      </c>
      <c r="D124" s="618">
        <v>0.45</v>
      </c>
      <c r="E124" s="619">
        <v>45</v>
      </c>
      <c r="G124" s="502">
        <v>25</v>
      </c>
      <c r="H124" s="517"/>
      <c r="I124" s="518"/>
      <c r="J124" s="505" t="s">
        <v>310</v>
      </c>
      <c r="K124" s="525" t="s">
        <v>96</v>
      </c>
      <c r="L124" s="507" t="s">
        <v>194</v>
      </c>
      <c r="M124" s="508">
        <v>80</v>
      </c>
      <c r="N124" s="508" t="s">
        <v>374</v>
      </c>
      <c r="O124" s="509">
        <f>IF($AP$120&gt;M124,(M124*4)+$V$151,$V$151)</f>
        <v>520</v>
      </c>
      <c r="P124" s="258"/>
      <c r="Q124" s="620">
        <v>12.025239121301855</v>
      </c>
      <c r="R124" s="391">
        <v>32.230031519975952</v>
      </c>
      <c r="S124" s="391">
        <v>51.491343100465372</v>
      </c>
      <c r="T124" s="391">
        <v>57.837156152466513</v>
      </c>
      <c r="U124" s="621"/>
      <c r="V124" s="258"/>
      <c r="AG124" s="517"/>
      <c r="AH124" s="518"/>
      <c r="AI124" s="513" t="s">
        <v>211</v>
      </c>
      <c r="AJ124" s="526" t="s">
        <v>95</v>
      </c>
      <c r="AK124" s="512" t="s">
        <v>15</v>
      </c>
      <c r="AL124" s="513">
        <v>50</v>
      </c>
      <c r="AM124" s="513">
        <v>12.231007132570813</v>
      </c>
      <c r="AN124" s="514">
        <v>353</v>
      </c>
      <c r="AP124" s="517"/>
      <c r="AQ124" s="518"/>
      <c r="AR124" s="515" t="s">
        <v>311</v>
      </c>
      <c r="AS124" s="526" t="s">
        <v>96</v>
      </c>
      <c r="AT124" s="516" t="s">
        <v>135</v>
      </c>
      <c r="AU124" s="513">
        <v>100</v>
      </c>
      <c r="AV124" s="513">
        <v>0</v>
      </c>
      <c r="AW124" s="541">
        <f>IF($AP$120&gt;AU124,(AU124*4)+$V$152,$V$152)</f>
        <v>250</v>
      </c>
    </row>
    <row r="125" spans="1:49" hidden="1" x14ac:dyDescent="0.3">
      <c r="A125" s="6">
        <v>0.19</v>
      </c>
      <c r="B125" s="622" t="s">
        <v>258</v>
      </c>
      <c r="C125" s="623">
        <v>0.48</v>
      </c>
      <c r="D125" s="623">
        <v>0.72</v>
      </c>
      <c r="E125" s="624">
        <v>72</v>
      </c>
      <c r="G125" s="486">
        <v>26</v>
      </c>
      <c r="H125" s="517"/>
      <c r="I125" s="518"/>
      <c r="J125" s="505" t="s">
        <v>311</v>
      </c>
      <c r="K125" s="525" t="s">
        <v>96</v>
      </c>
      <c r="L125" s="507" t="s">
        <v>135</v>
      </c>
      <c r="M125" s="508">
        <v>100</v>
      </c>
      <c r="N125" s="508">
        <v>0</v>
      </c>
      <c r="O125" s="509">
        <f>IF($AP$120&gt;M125,(M125*4)+$V$152,$V$152)</f>
        <v>250</v>
      </c>
      <c r="P125" s="258"/>
      <c r="Q125" s="258"/>
      <c r="R125" s="484"/>
      <c r="S125" s="258"/>
      <c r="V125" s="258"/>
      <c r="W125" s="8"/>
      <c r="X125" s="8"/>
      <c r="AG125" s="517"/>
      <c r="AH125" s="518"/>
      <c r="AI125" s="513" t="s">
        <v>212</v>
      </c>
      <c r="AJ125" s="526" t="s">
        <v>96</v>
      </c>
      <c r="AK125" s="512" t="s">
        <v>15</v>
      </c>
      <c r="AL125" s="513">
        <v>50</v>
      </c>
      <c r="AM125" s="513">
        <v>12.231007132570813</v>
      </c>
      <c r="AN125" s="514">
        <v>353</v>
      </c>
      <c r="AP125" s="517">
        <v>125</v>
      </c>
      <c r="AQ125" s="518">
        <v>4</v>
      </c>
      <c r="AR125" s="515" t="s">
        <v>304</v>
      </c>
      <c r="AS125" s="526" t="s">
        <v>96</v>
      </c>
      <c r="AT125" s="516" t="s">
        <v>13</v>
      </c>
      <c r="AU125" s="513">
        <v>50</v>
      </c>
      <c r="AV125" s="513">
        <v>41.112090439166927</v>
      </c>
      <c r="AW125" s="541">
        <f>IF($AP$125&gt;AU125,(AU125*4)+$V$148,$V$148)</f>
        <v>353</v>
      </c>
    </row>
    <row r="126" spans="1:49" hidden="1" x14ac:dyDescent="0.3">
      <c r="A126" s="6">
        <v>0.12</v>
      </c>
      <c r="B126" s="625" t="s">
        <v>259</v>
      </c>
      <c r="C126" s="626">
        <v>0.28799999999999998</v>
      </c>
      <c r="D126" s="626">
        <v>0.72</v>
      </c>
      <c r="E126" s="627">
        <v>72</v>
      </c>
      <c r="G126" s="502">
        <v>27</v>
      </c>
      <c r="H126" s="517">
        <v>125</v>
      </c>
      <c r="I126" s="518">
        <v>4</v>
      </c>
      <c r="J126" s="505" t="s">
        <v>304</v>
      </c>
      <c r="K126" s="525" t="s">
        <v>96</v>
      </c>
      <c r="L126" s="507" t="s">
        <v>13</v>
      </c>
      <c r="M126" s="508">
        <v>50</v>
      </c>
      <c r="N126" s="508" t="s">
        <v>370</v>
      </c>
      <c r="O126" s="509">
        <f>IF($AP$125&gt;M126,(M126*4)+$V$148,$V$148)</f>
        <v>353</v>
      </c>
      <c r="P126" s="258"/>
      <c r="Q126" s="258"/>
      <c r="R126" s="484"/>
      <c r="S126" s="258"/>
      <c r="T126" s="258"/>
      <c r="U126" s="258"/>
      <c r="V126" s="258"/>
      <c r="AG126" s="517"/>
      <c r="AH126" s="518"/>
      <c r="AI126" s="513" t="s">
        <v>213</v>
      </c>
      <c r="AJ126" s="526" t="s">
        <v>95</v>
      </c>
      <c r="AK126" s="512" t="s">
        <v>190</v>
      </c>
      <c r="AL126" s="513">
        <v>65</v>
      </c>
      <c r="AM126" s="538">
        <v>0</v>
      </c>
      <c r="AN126" s="541">
        <v>200</v>
      </c>
      <c r="AP126" s="517"/>
      <c r="AQ126" s="518"/>
      <c r="AR126" s="515" t="s">
        <v>308</v>
      </c>
      <c r="AS126" s="526" t="s">
        <v>96</v>
      </c>
      <c r="AT126" s="516" t="s">
        <v>195</v>
      </c>
      <c r="AU126" s="513">
        <v>65</v>
      </c>
      <c r="AV126" s="538">
        <v>33.398488467987242</v>
      </c>
      <c r="AW126" s="541">
        <f>IF($AP$125&gt;AU126,(AU126*4)+$V$150,$V$150)</f>
        <v>460</v>
      </c>
    </row>
    <row r="127" spans="1:49" ht="12.9" hidden="1" thickBot="1" x14ac:dyDescent="0.35">
      <c r="A127" s="6">
        <v>0.12</v>
      </c>
      <c r="B127" s="628" t="s">
        <v>260</v>
      </c>
      <c r="C127" s="629">
        <v>0.16</v>
      </c>
      <c r="D127" s="629">
        <v>0.72</v>
      </c>
      <c r="E127" s="630">
        <v>72</v>
      </c>
      <c r="G127" s="502"/>
      <c r="H127" s="517"/>
      <c r="I127" s="518"/>
      <c r="J127" s="505" t="s">
        <v>308</v>
      </c>
      <c r="K127" s="525" t="s">
        <v>96</v>
      </c>
      <c r="L127" s="507" t="s">
        <v>195</v>
      </c>
      <c r="M127" s="508">
        <v>65</v>
      </c>
      <c r="N127" s="508" t="s">
        <v>372</v>
      </c>
      <c r="O127" s="509">
        <f>IF($AP$125&gt;M127,(M127*4)+$V$150,$V$150)</f>
        <v>460</v>
      </c>
      <c r="P127" s="258"/>
      <c r="Q127" s="258"/>
      <c r="R127" s="631">
        <v>-1E-4</v>
      </c>
      <c r="S127" s="631">
        <v>3.6000000000000002E-4</v>
      </c>
      <c r="T127" s="632">
        <v>0</v>
      </c>
      <c r="U127" s="633"/>
      <c r="V127" s="258"/>
      <c r="AG127" s="517"/>
      <c r="AH127" s="518"/>
      <c r="AI127" s="513" t="s">
        <v>214</v>
      </c>
      <c r="AJ127" s="526" t="s">
        <v>96</v>
      </c>
      <c r="AK127" s="512" t="s">
        <v>190</v>
      </c>
      <c r="AL127" s="513">
        <v>65</v>
      </c>
      <c r="AM127" s="538">
        <v>0</v>
      </c>
      <c r="AN127" s="541">
        <v>200</v>
      </c>
      <c r="AP127" s="517"/>
      <c r="AQ127" s="518"/>
      <c r="AR127" s="515" t="s">
        <v>310</v>
      </c>
      <c r="AS127" s="526" t="s">
        <v>96</v>
      </c>
      <c r="AT127" s="516" t="s">
        <v>196</v>
      </c>
      <c r="AU127" s="513">
        <v>80</v>
      </c>
      <c r="AV127" s="513">
        <v>25.117673881895147</v>
      </c>
      <c r="AW127" s="541">
        <f>IF($AP$125&gt;AU127,(AU127*4)+$V$151,$V$151)</f>
        <v>520</v>
      </c>
    </row>
    <row r="128" spans="1:49" hidden="1" x14ac:dyDescent="0.3">
      <c r="A128" s="6">
        <v>0.32</v>
      </c>
      <c r="B128" s="634" t="s">
        <v>261</v>
      </c>
      <c r="C128" s="635">
        <v>0.8</v>
      </c>
      <c r="D128" s="635">
        <v>1.2</v>
      </c>
      <c r="E128" s="636">
        <v>120</v>
      </c>
      <c r="G128" s="486">
        <v>28</v>
      </c>
      <c r="H128" s="517"/>
      <c r="I128" s="518"/>
      <c r="J128" s="505" t="s">
        <v>310</v>
      </c>
      <c r="K128" s="525" t="s">
        <v>96</v>
      </c>
      <c r="L128" s="507" t="s">
        <v>196</v>
      </c>
      <c r="M128" s="508">
        <v>80</v>
      </c>
      <c r="N128" s="508" t="s">
        <v>314</v>
      </c>
      <c r="O128" s="509">
        <f>IF($AP$125&gt;M128,(M128*4)+$V$151,$V$151)</f>
        <v>520</v>
      </c>
      <c r="P128" s="258"/>
      <c r="Q128" s="258"/>
      <c r="R128" s="484"/>
      <c r="S128" s="258"/>
      <c r="T128" s="258"/>
      <c r="U128" s="258"/>
      <c r="V128" s="258"/>
      <c r="AG128" s="529">
        <v>80</v>
      </c>
      <c r="AH128" s="530">
        <v>10</v>
      </c>
      <c r="AI128" s="513" t="s">
        <v>207</v>
      </c>
      <c r="AJ128" s="526" t="s">
        <v>95</v>
      </c>
      <c r="AK128" s="512" t="s">
        <v>11</v>
      </c>
      <c r="AL128" s="513">
        <v>32</v>
      </c>
      <c r="AM128" s="513">
        <v>25.750003119224949</v>
      </c>
      <c r="AN128" s="514">
        <v>256</v>
      </c>
      <c r="AP128" s="517"/>
      <c r="AQ128" s="518"/>
      <c r="AR128" s="515" t="s">
        <v>311</v>
      </c>
      <c r="AS128" s="526" t="s">
        <v>96</v>
      </c>
      <c r="AT128" s="516" t="s">
        <v>136</v>
      </c>
      <c r="AU128" s="513">
        <v>100</v>
      </c>
      <c r="AV128" s="513">
        <v>14.250032697803595</v>
      </c>
      <c r="AW128" s="541">
        <f>IF($AP$125&gt;AU128,(AU128*4)+$V$152,$V$152)</f>
        <v>650</v>
      </c>
    </row>
    <row r="129" spans="1:49" hidden="1" x14ac:dyDescent="0.3">
      <c r="A129" s="6">
        <v>0.19</v>
      </c>
      <c r="B129" s="637" t="s">
        <v>262</v>
      </c>
      <c r="C129" s="638">
        <v>0.48</v>
      </c>
      <c r="D129" s="638">
        <v>1.2</v>
      </c>
      <c r="E129" s="639">
        <v>120</v>
      </c>
      <c r="G129" s="502">
        <v>29</v>
      </c>
      <c r="H129" s="517"/>
      <c r="I129" s="518"/>
      <c r="J129" s="505" t="s">
        <v>311</v>
      </c>
      <c r="K129" s="525" t="s">
        <v>96</v>
      </c>
      <c r="L129" s="507" t="s">
        <v>136</v>
      </c>
      <c r="M129" s="508">
        <v>100</v>
      </c>
      <c r="N129" s="508" t="s">
        <v>377</v>
      </c>
      <c r="O129" s="509">
        <f>IF($AP$125&gt;M129,(M129*4)+$V$152,$V$152)</f>
        <v>650</v>
      </c>
      <c r="P129" s="258"/>
      <c r="Q129" s="258"/>
      <c r="R129" s="484"/>
      <c r="S129" s="258"/>
      <c r="T129" s="258"/>
      <c r="U129" s="258"/>
      <c r="V129" s="258"/>
      <c r="AG129" s="517"/>
      <c r="AH129" s="518"/>
      <c r="AI129" s="513" t="s">
        <v>208</v>
      </c>
      <c r="AJ129" s="526" t="s">
        <v>96</v>
      </c>
      <c r="AK129" s="512" t="s">
        <v>11</v>
      </c>
      <c r="AL129" s="513">
        <v>32</v>
      </c>
      <c r="AM129" s="513">
        <v>25.750003119224949</v>
      </c>
      <c r="AN129" s="514">
        <v>256</v>
      </c>
      <c r="AP129" s="517">
        <v>150</v>
      </c>
      <c r="AQ129" s="518">
        <v>4</v>
      </c>
      <c r="AR129" s="515" t="s">
        <v>308</v>
      </c>
      <c r="AS129" s="526" t="s">
        <v>96</v>
      </c>
      <c r="AT129" s="516" t="s">
        <v>197</v>
      </c>
      <c r="AU129" s="513">
        <v>65</v>
      </c>
      <c r="AV129" s="538">
        <v>59.077564519116194</v>
      </c>
      <c r="AW129" s="541">
        <f>IF($AP$129&gt;AU129,(AU129*4)+$V$150,$V$150)</f>
        <v>460</v>
      </c>
    </row>
    <row r="130" spans="1:49" ht="12.9" hidden="1" thickBot="1" x14ac:dyDescent="0.35">
      <c r="A130" s="6">
        <v>0.19</v>
      </c>
      <c r="B130" s="640" t="s">
        <v>263</v>
      </c>
      <c r="C130" s="641">
        <v>0.26700000000000002</v>
      </c>
      <c r="D130" s="641">
        <v>1.2</v>
      </c>
      <c r="E130" s="642">
        <v>120</v>
      </c>
      <c r="G130" s="486">
        <v>30</v>
      </c>
      <c r="H130" s="517">
        <v>150</v>
      </c>
      <c r="I130" s="518">
        <v>4</v>
      </c>
      <c r="J130" s="505" t="s">
        <v>308</v>
      </c>
      <c r="K130" s="525" t="s">
        <v>96</v>
      </c>
      <c r="L130" s="507" t="s">
        <v>197</v>
      </c>
      <c r="M130" s="508">
        <v>65</v>
      </c>
      <c r="N130" s="508" t="s">
        <v>373</v>
      </c>
      <c r="O130" s="509">
        <f>IF($AP$129&gt;M130,(M130*4)+$V$150,$V$150)</f>
        <v>460</v>
      </c>
      <c r="P130" s="258"/>
      <c r="R130" s="484"/>
      <c r="S130" s="258"/>
      <c r="T130" s="258"/>
      <c r="U130" s="258"/>
      <c r="V130" s="258"/>
      <c r="AG130" s="517"/>
      <c r="AH130" s="518"/>
      <c r="AI130" s="513" t="s">
        <v>209</v>
      </c>
      <c r="AJ130" s="526" t="s">
        <v>95</v>
      </c>
      <c r="AK130" s="512" t="s">
        <v>159</v>
      </c>
      <c r="AL130" s="513">
        <v>40</v>
      </c>
      <c r="AM130" s="538">
        <v>29.862834356275101</v>
      </c>
      <c r="AN130" s="541">
        <v>360</v>
      </c>
      <c r="AP130" s="517"/>
      <c r="AQ130" s="518"/>
      <c r="AR130" s="515" t="s">
        <v>310</v>
      </c>
      <c r="AS130" s="526" t="s">
        <v>96</v>
      </c>
      <c r="AT130" s="516" t="s">
        <v>198</v>
      </c>
      <c r="AU130" s="513">
        <v>80</v>
      </c>
      <c r="AV130" s="513">
        <v>30.136976318984416</v>
      </c>
      <c r="AW130" s="541">
        <f>IF($AP$129&gt;AU130,(AU130*4)+$V$151,$V$151)</f>
        <v>520</v>
      </c>
    </row>
    <row r="131" spans="1:49" hidden="1" x14ac:dyDescent="0.3">
      <c r="A131" s="6">
        <v>0.48</v>
      </c>
      <c r="B131" s="643" t="s">
        <v>264</v>
      </c>
      <c r="C131" s="644">
        <v>1.2</v>
      </c>
      <c r="D131" s="644">
        <v>1.8</v>
      </c>
      <c r="E131" s="645">
        <v>180</v>
      </c>
      <c r="G131" s="502">
        <v>31</v>
      </c>
      <c r="H131" s="517"/>
      <c r="I131" s="518"/>
      <c r="J131" s="505" t="s">
        <v>310</v>
      </c>
      <c r="K131" s="525" t="s">
        <v>96</v>
      </c>
      <c r="L131" s="507" t="s">
        <v>198</v>
      </c>
      <c r="M131" s="508">
        <v>80</v>
      </c>
      <c r="N131" s="508" t="s">
        <v>375</v>
      </c>
      <c r="O131" s="509">
        <f>IF($AP$129&gt;M131,(M131*4)+$V$151,$V$151)</f>
        <v>520</v>
      </c>
      <c r="P131" s="258"/>
      <c r="R131" s="484"/>
      <c r="S131" s="258"/>
      <c r="T131" s="258"/>
      <c r="U131" s="258"/>
      <c r="V131" s="258"/>
      <c r="AG131" s="517"/>
      <c r="AH131" s="518"/>
      <c r="AI131" s="513" t="s">
        <v>210</v>
      </c>
      <c r="AJ131" s="526" t="s">
        <v>96</v>
      </c>
      <c r="AK131" s="512" t="s">
        <v>159</v>
      </c>
      <c r="AL131" s="513">
        <v>40</v>
      </c>
      <c r="AM131" s="538">
        <v>29.862834356275101</v>
      </c>
      <c r="AN131" s="541">
        <v>360</v>
      </c>
      <c r="AP131" s="517"/>
      <c r="AQ131" s="518"/>
      <c r="AR131" s="515" t="s">
        <v>311</v>
      </c>
      <c r="AS131" s="526" t="s">
        <v>96</v>
      </c>
      <c r="AT131" s="516" t="s">
        <v>137</v>
      </c>
      <c r="AU131" s="513">
        <v>100</v>
      </c>
      <c r="AV131" s="513">
        <v>21.771054109317475</v>
      </c>
      <c r="AW131" s="541">
        <f>IF($AP$129&gt;AU131,(AU131*4)+$V$152,$V$152)</f>
        <v>650</v>
      </c>
    </row>
    <row r="132" spans="1:49" hidden="1" x14ac:dyDescent="0.3">
      <c r="A132" s="6">
        <v>0.28999999999999998</v>
      </c>
      <c r="B132" s="646" t="s">
        <v>265</v>
      </c>
      <c r="C132" s="647">
        <v>0.72</v>
      </c>
      <c r="D132" s="647">
        <v>1.8</v>
      </c>
      <c r="E132" s="648">
        <v>180</v>
      </c>
      <c r="G132" s="486">
        <v>32</v>
      </c>
      <c r="H132" s="517"/>
      <c r="I132" s="518"/>
      <c r="J132" s="505" t="s">
        <v>311</v>
      </c>
      <c r="K132" s="525" t="s">
        <v>96</v>
      </c>
      <c r="L132" s="507" t="s">
        <v>137</v>
      </c>
      <c r="M132" s="508">
        <v>100</v>
      </c>
      <c r="N132" s="508" t="s">
        <v>366</v>
      </c>
      <c r="O132" s="509">
        <f>IF($AP$129&gt;M132,(M132*4)+$V$152,$V$152)</f>
        <v>650</v>
      </c>
      <c r="P132" s="258"/>
      <c r="R132" s="484"/>
      <c r="S132" s="258"/>
      <c r="T132" s="258"/>
      <c r="U132" s="258"/>
      <c r="V132" s="258"/>
      <c r="AG132" s="517"/>
      <c r="AH132" s="518"/>
      <c r="AI132" s="513" t="s">
        <v>211</v>
      </c>
      <c r="AJ132" s="526" t="s">
        <v>95</v>
      </c>
      <c r="AK132" s="512" t="s">
        <v>16</v>
      </c>
      <c r="AL132" s="513">
        <v>50</v>
      </c>
      <c r="AM132" s="513">
        <v>22.619864948040426</v>
      </c>
      <c r="AN132" s="514">
        <v>353</v>
      </c>
      <c r="AP132" s="517"/>
      <c r="AQ132" s="518"/>
      <c r="AR132" s="515" t="s">
        <v>312</v>
      </c>
      <c r="AS132" s="526" t="s">
        <v>96</v>
      </c>
      <c r="AT132" s="516" t="s">
        <v>119</v>
      </c>
      <c r="AU132" s="513">
        <v>150</v>
      </c>
      <c r="AV132" s="513">
        <v>0</v>
      </c>
      <c r="AW132" s="541">
        <f>IF(AP$129&gt;AU132,(AU132*4)+$V$153,$V$153)</f>
        <v>314</v>
      </c>
    </row>
    <row r="133" spans="1:49" ht="12.9" hidden="1" thickBot="1" x14ac:dyDescent="0.35">
      <c r="A133" s="6">
        <v>0.28999999999999998</v>
      </c>
      <c r="B133" s="649" t="s">
        <v>266</v>
      </c>
      <c r="C133" s="650">
        <v>0.4</v>
      </c>
      <c r="D133" s="650">
        <v>1.8</v>
      </c>
      <c r="E133" s="651">
        <v>180</v>
      </c>
      <c r="G133" s="502">
        <v>33</v>
      </c>
      <c r="H133" s="517"/>
      <c r="I133" s="518"/>
      <c r="J133" s="505" t="s">
        <v>312</v>
      </c>
      <c r="K133" s="525" t="s">
        <v>96</v>
      </c>
      <c r="L133" s="507" t="s">
        <v>119</v>
      </c>
      <c r="M133" s="508">
        <v>150</v>
      </c>
      <c r="N133" s="508">
        <v>0</v>
      </c>
      <c r="O133" s="509">
        <f>IF(H$129&gt;M133,(M133*4)+$V$153,$V$153)</f>
        <v>314</v>
      </c>
      <c r="P133" s="258"/>
      <c r="R133" s="484"/>
      <c r="S133" s="258"/>
      <c r="T133" s="258"/>
      <c r="U133" s="258"/>
      <c r="V133" s="8"/>
      <c r="AG133" s="517"/>
      <c r="AH133" s="518"/>
      <c r="AI133" s="513" t="s">
        <v>212</v>
      </c>
      <c r="AJ133" s="526" t="s">
        <v>96</v>
      </c>
      <c r="AK133" s="512" t="s">
        <v>16</v>
      </c>
      <c r="AL133" s="513">
        <v>50</v>
      </c>
      <c r="AM133" s="513">
        <v>22.619864948040426</v>
      </c>
      <c r="AN133" s="514">
        <v>353</v>
      </c>
      <c r="AP133" s="517">
        <v>200</v>
      </c>
      <c r="AQ133" s="518">
        <v>4</v>
      </c>
      <c r="AR133" s="515" t="s">
        <v>310</v>
      </c>
      <c r="AS133" s="526" t="s">
        <v>96</v>
      </c>
      <c r="AT133" s="516" t="s">
        <v>199</v>
      </c>
      <c r="AU133" s="513">
        <v>80</v>
      </c>
      <c r="AV133" s="513">
        <v>64.551288629155266</v>
      </c>
      <c r="AW133" s="541">
        <f>IF($AP$133&gt;AU133,(AU133*4)+$V$151,$V$151)</f>
        <v>520</v>
      </c>
    </row>
    <row r="134" spans="1:49" ht="12.9" hidden="1" thickBot="1" x14ac:dyDescent="0.35">
      <c r="A134" s="6">
        <v>0.75</v>
      </c>
      <c r="B134" s="586" t="s">
        <v>267</v>
      </c>
      <c r="C134" s="587">
        <v>1.867</v>
      </c>
      <c r="D134" s="587">
        <v>2.8</v>
      </c>
      <c r="E134" s="588">
        <v>280</v>
      </c>
      <c r="G134" s="486">
        <v>34</v>
      </c>
      <c r="H134" s="517">
        <v>200</v>
      </c>
      <c r="I134" s="518">
        <v>4</v>
      </c>
      <c r="J134" s="505" t="s">
        <v>310</v>
      </c>
      <c r="K134" s="525" t="s">
        <v>96</v>
      </c>
      <c r="L134" s="507" t="s">
        <v>199</v>
      </c>
      <c r="M134" s="508">
        <v>80</v>
      </c>
      <c r="N134" s="508" t="s">
        <v>376</v>
      </c>
      <c r="O134" s="509">
        <f>IF($AP$133&gt;M134,(M134*4)+$V$151,$V$151)</f>
        <v>520</v>
      </c>
      <c r="P134" s="258"/>
      <c r="Q134" s="379" t="s">
        <v>415</v>
      </c>
      <c r="R134" s="484"/>
      <c r="S134" s="258"/>
      <c r="T134" s="258"/>
      <c r="U134" s="258"/>
      <c r="V134" s="8"/>
      <c r="AG134" s="517"/>
      <c r="AH134" s="518"/>
      <c r="AI134" s="513" t="s">
        <v>213</v>
      </c>
      <c r="AJ134" s="526" t="s">
        <v>95</v>
      </c>
      <c r="AK134" s="512" t="s">
        <v>191</v>
      </c>
      <c r="AL134" s="513">
        <v>65</v>
      </c>
      <c r="AM134" s="538">
        <v>11.421186274999286</v>
      </c>
      <c r="AN134" s="541">
        <v>440</v>
      </c>
      <c r="AP134" s="517"/>
      <c r="AQ134" s="518"/>
      <c r="AR134" s="515" t="s">
        <v>311</v>
      </c>
      <c r="AS134" s="526" t="s">
        <v>96</v>
      </c>
      <c r="AT134" s="516" t="s">
        <v>138</v>
      </c>
      <c r="AU134" s="513">
        <v>100</v>
      </c>
      <c r="AV134" s="513">
        <v>55.517081202120053</v>
      </c>
      <c r="AW134" s="541">
        <f>IF($AP$133&gt;AU134,(AU134*4)+$V$152,$V$152)</f>
        <v>650</v>
      </c>
    </row>
    <row r="135" spans="1:49" ht="12.9" hidden="1" thickBot="1" x14ac:dyDescent="0.35">
      <c r="A135" s="6">
        <v>0.45</v>
      </c>
      <c r="B135" s="589" t="s">
        <v>268</v>
      </c>
      <c r="C135" s="590">
        <v>1.1200000000000001</v>
      </c>
      <c r="D135" s="590">
        <v>2.8</v>
      </c>
      <c r="E135" s="591">
        <v>280</v>
      </c>
      <c r="G135" s="486"/>
      <c r="H135" s="517"/>
      <c r="I135" s="518"/>
      <c r="J135" s="505" t="s">
        <v>311</v>
      </c>
      <c r="K135" s="525" t="s">
        <v>96</v>
      </c>
      <c r="L135" s="507" t="s">
        <v>138</v>
      </c>
      <c r="M135" s="508">
        <v>100</v>
      </c>
      <c r="N135" s="508" t="s">
        <v>378</v>
      </c>
      <c r="O135" s="509">
        <f>IF($AP$133&gt;M135,(M135*4)+$V$152,$V$152)</f>
        <v>650</v>
      </c>
      <c r="P135" s="258"/>
      <c r="Q135" s="652">
        <v>15</v>
      </c>
      <c r="R135" s="484"/>
      <c r="S135" s="258"/>
      <c r="T135" s="258"/>
      <c r="U135" s="258"/>
      <c r="V135" s="8"/>
      <c r="AG135" s="517"/>
      <c r="AH135" s="518"/>
      <c r="AI135" s="513" t="s">
        <v>214</v>
      </c>
      <c r="AJ135" s="526" t="s">
        <v>96</v>
      </c>
      <c r="AK135" s="512" t="s">
        <v>191</v>
      </c>
      <c r="AL135" s="513">
        <v>80</v>
      </c>
      <c r="AM135" s="538">
        <v>11.421186274999286</v>
      </c>
      <c r="AN135" s="541">
        <v>440</v>
      </c>
      <c r="AP135" s="517"/>
      <c r="AQ135" s="518"/>
      <c r="AR135" s="515" t="s">
        <v>312</v>
      </c>
      <c r="AS135" s="526" t="s">
        <v>96</v>
      </c>
      <c r="AT135" s="516" t="s">
        <v>120</v>
      </c>
      <c r="AU135" s="513">
        <v>150</v>
      </c>
      <c r="AV135" s="513">
        <v>20.249343310795634</v>
      </c>
      <c r="AW135" s="541">
        <f>IF($AP$133&gt;AU135,(AU135*4)+$V$153,$V$153)</f>
        <v>914</v>
      </c>
    </row>
    <row r="136" spans="1:49" ht="16.3" hidden="1" thickBot="1" x14ac:dyDescent="0.35">
      <c r="A136" s="6">
        <v>0.45</v>
      </c>
      <c r="B136" s="592" t="s">
        <v>269</v>
      </c>
      <c r="C136" s="593">
        <v>0.62</v>
      </c>
      <c r="D136" s="593">
        <v>2.8</v>
      </c>
      <c r="E136" s="594">
        <v>280</v>
      </c>
      <c r="G136" s="502">
        <v>35</v>
      </c>
      <c r="H136" s="517"/>
      <c r="I136" s="518"/>
      <c r="J136" s="505" t="s">
        <v>312</v>
      </c>
      <c r="K136" s="525" t="s">
        <v>96</v>
      </c>
      <c r="L136" s="507" t="s">
        <v>120</v>
      </c>
      <c r="M136" s="508">
        <v>150</v>
      </c>
      <c r="N136" s="534" t="s">
        <v>380</v>
      </c>
      <c r="O136" s="509">
        <f>IF($AP$133&gt;M136,(M136*4)+$V$153,$V$153)</f>
        <v>914</v>
      </c>
      <c r="P136" s="258"/>
      <c r="Q136" s="652">
        <v>20</v>
      </c>
      <c r="R136" s="484"/>
      <c r="S136" s="98" t="s">
        <v>201</v>
      </c>
      <c r="AG136" s="517"/>
      <c r="AH136" s="518"/>
      <c r="AI136" s="513" t="s">
        <v>219</v>
      </c>
      <c r="AJ136" s="526" t="s">
        <v>95</v>
      </c>
      <c r="AK136" s="512" t="s">
        <v>192</v>
      </c>
      <c r="AL136" s="513">
        <v>80</v>
      </c>
      <c r="AM136" s="513">
        <v>0</v>
      </c>
      <c r="AN136" s="514">
        <v>200</v>
      </c>
      <c r="AP136" s="517"/>
      <c r="AQ136" s="518"/>
      <c r="AR136" s="515" t="s">
        <v>319</v>
      </c>
      <c r="AS136" s="526" t="s">
        <v>96</v>
      </c>
      <c r="AT136" s="516" t="s">
        <v>174</v>
      </c>
      <c r="AU136" s="513">
        <v>200</v>
      </c>
      <c r="AV136" s="513">
        <v>0</v>
      </c>
      <c r="AW136" s="541">
        <f>IF($AP$133&gt;AU136,(AU136*4)+$V$154,$V$154)</f>
        <v>358</v>
      </c>
    </row>
    <row r="137" spans="1:49" ht="21.75" hidden="1" customHeight="1" x14ac:dyDescent="0.3">
      <c r="A137" s="6">
        <v>1.7</v>
      </c>
      <c r="B137" s="654" t="s">
        <v>270</v>
      </c>
      <c r="C137" s="655">
        <v>4.2</v>
      </c>
      <c r="D137" s="655">
        <v>6.3</v>
      </c>
      <c r="E137" s="656">
        <v>630</v>
      </c>
      <c r="G137" s="502"/>
      <c r="H137" s="517"/>
      <c r="I137" s="518"/>
      <c r="J137" s="505" t="s">
        <v>319</v>
      </c>
      <c r="K137" s="525" t="s">
        <v>96</v>
      </c>
      <c r="L137" s="507" t="s">
        <v>174</v>
      </c>
      <c r="M137" s="508">
        <v>200</v>
      </c>
      <c r="N137" s="508">
        <v>0</v>
      </c>
      <c r="O137" s="509">
        <f>IF($AP$133&gt;M137,(M137*4)+$V$154,$V$154)</f>
        <v>358</v>
      </c>
      <c r="P137" s="258"/>
      <c r="Q137" s="653">
        <v>25</v>
      </c>
      <c r="R137" s="8"/>
      <c r="S137" s="99" t="s">
        <v>1</v>
      </c>
      <c r="T137" s="100" t="s">
        <v>413</v>
      </c>
      <c r="U137" s="100" t="s">
        <v>202</v>
      </c>
      <c r="V137" s="100" t="s">
        <v>203</v>
      </c>
      <c r="AG137" s="544"/>
      <c r="AH137" s="545"/>
      <c r="AI137" s="513" t="s">
        <v>220</v>
      </c>
      <c r="AJ137" s="526" t="s">
        <v>96</v>
      </c>
      <c r="AK137" s="512" t="s">
        <v>192</v>
      </c>
      <c r="AL137" s="513">
        <v>80</v>
      </c>
      <c r="AM137" s="513">
        <v>0</v>
      </c>
      <c r="AN137" s="514">
        <v>200</v>
      </c>
      <c r="AP137" s="517">
        <v>250</v>
      </c>
      <c r="AQ137" s="518">
        <v>4</v>
      </c>
      <c r="AR137" s="515" t="s">
        <v>311</v>
      </c>
      <c r="AS137" s="526" t="s">
        <v>96</v>
      </c>
      <c r="AT137" s="516" t="s">
        <v>139</v>
      </c>
      <c r="AU137" s="513">
        <v>100</v>
      </c>
      <c r="AV137" s="658">
        <v>56.357180219918348</v>
      </c>
      <c r="AW137" s="541">
        <f>IF($AP$137&gt;AU137,(AU137*4)+$V$152,$V$152)</f>
        <v>650</v>
      </c>
    </row>
    <row r="138" spans="1:49" ht="15.9" hidden="1" x14ac:dyDescent="0.45">
      <c r="A138" s="6">
        <v>1</v>
      </c>
      <c r="B138" s="567" t="s">
        <v>271</v>
      </c>
      <c r="C138" s="568">
        <v>2.52</v>
      </c>
      <c r="D138" s="568">
        <v>6.3</v>
      </c>
      <c r="E138" s="569">
        <v>630</v>
      </c>
      <c r="G138" s="486">
        <v>36</v>
      </c>
      <c r="H138" s="517">
        <v>250</v>
      </c>
      <c r="I138" s="518">
        <v>4</v>
      </c>
      <c r="J138" s="505" t="s">
        <v>311</v>
      </c>
      <c r="K138" s="525" t="s">
        <v>96</v>
      </c>
      <c r="L138" s="507" t="s">
        <v>139</v>
      </c>
      <c r="M138" s="508">
        <v>100</v>
      </c>
      <c r="N138" s="508" t="s">
        <v>379</v>
      </c>
      <c r="O138" s="509">
        <f>IF($AP$137&gt;M138,(M138*4)+$V$152,$V$152)</f>
        <v>650</v>
      </c>
      <c r="P138" s="258"/>
      <c r="Q138" s="657">
        <v>32</v>
      </c>
      <c r="R138" s="8"/>
      <c r="S138" s="101" t="s">
        <v>294</v>
      </c>
      <c r="T138" s="102">
        <v>15</v>
      </c>
      <c r="U138" s="116">
        <v>0</v>
      </c>
      <c r="V138" s="102">
        <v>90</v>
      </c>
      <c r="AG138" s="529">
        <v>100</v>
      </c>
      <c r="AH138" s="530">
        <v>10</v>
      </c>
      <c r="AI138" s="513" t="s">
        <v>209</v>
      </c>
      <c r="AJ138" s="526" t="s">
        <v>95</v>
      </c>
      <c r="AK138" s="512" t="s">
        <v>160</v>
      </c>
      <c r="AL138" s="513">
        <v>40</v>
      </c>
      <c r="AM138" s="538">
        <v>41.112090439166927</v>
      </c>
      <c r="AN138" s="541">
        <v>360</v>
      </c>
      <c r="AP138" s="517"/>
      <c r="AQ138" s="518"/>
      <c r="AR138" s="515" t="s">
        <v>312</v>
      </c>
      <c r="AS138" s="526" t="s">
        <v>96</v>
      </c>
      <c r="AT138" s="516" t="s">
        <v>121</v>
      </c>
      <c r="AU138" s="513">
        <v>150</v>
      </c>
      <c r="AV138" s="658">
        <v>31.048221993508513</v>
      </c>
      <c r="AW138" s="541">
        <f>IF($AP$137&gt;AU138,(AU138*4)+$V$153,$V$153)</f>
        <v>914</v>
      </c>
    </row>
    <row r="139" spans="1:49" ht="16.3" hidden="1" thickBot="1" x14ac:dyDescent="0.5">
      <c r="A139" s="6">
        <v>1</v>
      </c>
      <c r="B139" s="570" t="s">
        <v>272</v>
      </c>
      <c r="C139" s="571">
        <v>1.4</v>
      </c>
      <c r="D139" s="571">
        <v>6.3</v>
      </c>
      <c r="E139" s="572">
        <v>630</v>
      </c>
      <c r="G139" s="502">
        <v>37</v>
      </c>
      <c r="H139" s="517"/>
      <c r="I139" s="518"/>
      <c r="J139" s="505" t="s">
        <v>312</v>
      </c>
      <c r="K139" s="525" t="s">
        <v>96</v>
      </c>
      <c r="L139" s="507" t="s">
        <v>121</v>
      </c>
      <c r="M139" s="508">
        <v>150</v>
      </c>
      <c r="N139" s="508" t="s">
        <v>343</v>
      </c>
      <c r="O139" s="509">
        <f>IF($AP$137&gt;M139,(M139*4)+$V$153,$V$153)</f>
        <v>914</v>
      </c>
      <c r="P139" s="258"/>
      <c r="Q139" s="657">
        <v>40</v>
      </c>
      <c r="R139" s="8"/>
      <c r="S139" s="101" t="s">
        <v>293</v>
      </c>
      <c r="T139" s="102">
        <v>15</v>
      </c>
      <c r="U139" s="116">
        <v>0</v>
      </c>
      <c r="V139" s="102">
        <v>135</v>
      </c>
      <c r="AG139" s="517"/>
      <c r="AH139" s="518"/>
      <c r="AI139" s="513" t="s">
        <v>210</v>
      </c>
      <c r="AJ139" s="526" t="s">
        <v>96</v>
      </c>
      <c r="AK139" s="512" t="s">
        <v>160</v>
      </c>
      <c r="AL139" s="513">
        <v>40</v>
      </c>
      <c r="AM139" s="538">
        <v>41.112090439166927</v>
      </c>
      <c r="AN139" s="541">
        <v>360</v>
      </c>
      <c r="AP139" s="517"/>
      <c r="AQ139" s="518"/>
      <c r="AR139" s="515" t="s">
        <v>319</v>
      </c>
      <c r="AS139" s="526" t="s">
        <v>96</v>
      </c>
      <c r="AT139" s="516" t="s">
        <v>175</v>
      </c>
      <c r="AU139" s="513">
        <v>200</v>
      </c>
      <c r="AV139" s="658">
        <v>15.814325405916916</v>
      </c>
      <c r="AW139" s="541">
        <f>IF($AP$137&gt;AU139,(AU139*4)+$V$154,$V$154)</f>
        <v>1158</v>
      </c>
    </row>
    <row r="140" spans="1:49" ht="15.9" hidden="1" x14ac:dyDescent="0.45">
      <c r="A140" s="6">
        <v>3</v>
      </c>
      <c r="B140" s="659" t="s">
        <v>273</v>
      </c>
      <c r="C140" s="660">
        <v>7.5</v>
      </c>
      <c r="D140" s="660">
        <v>11.3</v>
      </c>
      <c r="E140" s="661">
        <v>1130</v>
      </c>
      <c r="G140" s="486">
        <v>38</v>
      </c>
      <c r="H140" s="517"/>
      <c r="I140" s="518"/>
      <c r="J140" s="505" t="s">
        <v>319</v>
      </c>
      <c r="K140" s="525" t="s">
        <v>96</v>
      </c>
      <c r="L140" s="507" t="s">
        <v>175</v>
      </c>
      <c r="M140" s="508">
        <v>200</v>
      </c>
      <c r="N140" s="508" t="s">
        <v>327</v>
      </c>
      <c r="O140" s="509">
        <f>IF($AP$137&gt;M140,(M140*4)+$V$154,$V$154)</f>
        <v>1158</v>
      </c>
      <c r="P140" s="8"/>
      <c r="Q140" s="657">
        <v>50</v>
      </c>
      <c r="R140" s="8"/>
      <c r="S140" s="101" t="s">
        <v>276</v>
      </c>
      <c r="T140" s="102">
        <v>20</v>
      </c>
      <c r="U140" s="116">
        <v>0</v>
      </c>
      <c r="V140" s="102">
        <v>115</v>
      </c>
      <c r="AG140" s="517"/>
      <c r="AH140" s="518"/>
      <c r="AI140" s="513" t="s">
        <v>211</v>
      </c>
      <c r="AJ140" s="526" t="s">
        <v>95</v>
      </c>
      <c r="AK140" s="512" t="s">
        <v>12</v>
      </c>
      <c r="AL140" s="513">
        <v>50</v>
      </c>
      <c r="AM140" s="513">
        <v>34.708049272522651</v>
      </c>
      <c r="AN140" s="514">
        <v>353</v>
      </c>
      <c r="AP140" s="517"/>
      <c r="AQ140" s="518"/>
      <c r="AR140" s="515" t="s">
        <v>320</v>
      </c>
      <c r="AS140" s="526" t="s">
        <v>96</v>
      </c>
      <c r="AT140" s="516" t="s">
        <v>321</v>
      </c>
      <c r="AU140" s="513">
        <v>250</v>
      </c>
      <c r="AV140" s="513">
        <v>0</v>
      </c>
      <c r="AW140" s="541">
        <f>IF($AP$137&gt;AU140,(AU140*4)+$V$155,$V$155)</f>
        <v>400</v>
      </c>
    </row>
    <row r="141" spans="1:49" ht="15.9" hidden="1" x14ac:dyDescent="0.45">
      <c r="A141" s="6">
        <v>1.8</v>
      </c>
      <c r="B141" s="662" t="s">
        <v>274</v>
      </c>
      <c r="C141" s="663">
        <v>4.5</v>
      </c>
      <c r="D141" s="663">
        <v>11.3</v>
      </c>
      <c r="E141" s="664">
        <v>1130</v>
      </c>
      <c r="G141" s="502">
        <v>39</v>
      </c>
      <c r="H141" s="517"/>
      <c r="I141" s="518"/>
      <c r="J141" s="505" t="s">
        <v>320</v>
      </c>
      <c r="K141" s="525" t="s">
        <v>96</v>
      </c>
      <c r="L141" s="507" t="s">
        <v>321</v>
      </c>
      <c r="M141" s="508">
        <v>250</v>
      </c>
      <c r="N141" s="508">
        <v>0</v>
      </c>
      <c r="O141" s="509">
        <f>IF($AP$137&gt;M141,(M141*4)+$V$155,$V$155)</f>
        <v>400</v>
      </c>
      <c r="P141" s="8"/>
      <c r="Q141" s="657">
        <v>65</v>
      </c>
      <c r="R141" s="8"/>
      <c r="S141" s="101" t="s">
        <v>277</v>
      </c>
      <c r="T141" s="102">
        <v>20</v>
      </c>
      <c r="U141" s="116">
        <v>0</v>
      </c>
      <c r="V141" s="102">
        <v>155</v>
      </c>
      <c r="AG141" s="517"/>
      <c r="AH141" s="518"/>
      <c r="AI141" s="513" t="s">
        <v>212</v>
      </c>
      <c r="AJ141" s="526" t="s">
        <v>96</v>
      </c>
      <c r="AK141" s="512" t="s">
        <v>12</v>
      </c>
      <c r="AL141" s="513">
        <v>50</v>
      </c>
      <c r="AM141" s="513">
        <v>34.708049272522651</v>
      </c>
      <c r="AN141" s="514">
        <v>353</v>
      </c>
      <c r="AP141" s="517">
        <v>300</v>
      </c>
      <c r="AQ141" s="518">
        <v>5</v>
      </c>
      <c r="AR141" s="515" t="s">
        <v>311</v>
      </c>
      <c r="AS141" s="526" t="s">
        <v>96</v>
      </c>
      <c r="AT141" s="516" t="s">
        <v>323</v>
      </c>
      <c r="AU141" s="513">
        <v>100</v>
      </c>
      <c r="AV141" s="513" t="s">
        <v>326</v>
      </c>
      <c r="AW141" s="541">
        <f>IF($AP$141&gt;AU141,(AU141*4)+$V$152,$V$152)</f>
        <v>650</v>
      </c>
    </row>
    <row r="142" spans="1:49" ht="16.3" hidden="1" thickBot="1" x14ac:dyDescent="0.5">
      <c r="A142" s="6">
        <v>1.8</v>
      </c>
      <c r="B142" s="665" t="s">
        <v>275</v>
      </c>
      <c r="C142" s="666">
        <v>2.5</v>
      </c>
      <c r="D142" s="666">
        <v>11.3</v>
      </c>
      <c r="E142" s="667">
        <v>1130</v>
      </c>
      <c r="G142" s="486">
        <v>40</v>
      </c>
      <c r="H142" s="517">
        <v>300</v>
      </c>
      <c r="I142" s="518">
        <v>5</v>
      </c>
      <c r="J142" s="505" t="s">
        <v>311</v>
      </c>
      <c r="K142" s="525" t="s">
        <v>96</v>
      </c>
      <c r="L142" s="507" t="s">
        <v>323</v>
      </c>
      <c r="M142" s="508">
        <v>100</v>
      </c>
      <c r="N142" s="508" t="s">
        <v>326</v>
      </c>
      <c r="O142" s="509">
        <f>IF($AP$141&gt;M142,(M142*4)+$V$152,$V$152)</f>
        <v>650</v>
      </c>
      <c r="P142" s="8"/>
      <c r="Q142" s="657">
        <v>80</v>
      </c>
      <c r="S142" s="101" t="s">
        <v>278</v>
      </c>
      <c r="T142" s="102">
        <v>25</v>
      </c>
      <c r="U142" s="116">
        <v>0</v>
      </c>
      <c r="V142" s="102">
        <v>120</v>
      </c>
      <c r="AG142" s="517"/>
      <c r="AH142" s="518"/>
      <c r="AI142" s="513" t="s">
        <v>213</v>
      </c>
      <c r="AJ142" s="526" t="s">
        <v>95</v>
      </c>
      <c r="AK142" s="512" t="s">
        <v>193</v>
      </c>
      <c r="AL142" s="513">
        <v>65</v>
      </c>
      <c r="AM142" s="538">
        <v>24.67817455665239</v>
      </c>
      <c r="AN142" s="541">
        <v>440</v>
      </c>
      <c r="AP142" s="517"/>
      <c r="AQ142" s="518"/>
      <c r="AR142" s="515" t="s">
        <v>312</v>
      </c>
      <c r="AS142" s="526" t="s">
        <v>96</v>
      </c>
      <c r="AT142" s="516" t="s">
        <v>122</v>
      </c>
      <c r="AU142" s="513">
        <v>150</v>
      </c>
      <c r="AV142" s="513">
        <v>56.357180219918348</v>
      </c>
      <c r="AW142" s="541">
        <f>IF($AP$141&gt;AU142,(AU142*4)+$V$153,$V$153)</f>
        <v>914</v>
      </c>
    </row>
    <row r="143" spans="1:49" ht="16.3" hidden="1" thickBot="1" x14ac:dyDescent="0.5">
      <c r="A143" s="6">
        <v>4.53</v>
      </c>
      <c r="B143" s="668" t="s">
        <v>237</v>
      </c>
      <c r="C143" s="669">
        <v>11.3</v>
      </c>
      <c r="D143" s="669">
        <v>17</v>
      </c>
      <c r="E143" s="670">
        <v>1700</v>
      </c>
      <c r="G143" s="486"/>
      <c r="H143" s="517"/>
      <c r="I143" s="518"/>
      <c r="J143" s="505" t="s">
        <v>312</v>
      </c>
      <c r="K143" s="525" t="s">
        <v>96</v>
      </c>
      <c r="L143" s="507" t="s">
        <v>122</v>
      </c>
      <c r="M143" s="508">
        <v>150</v>
      </c>
      <c r="N143" s="508" t="s">
        <v>379</v>
      </c>
      <c r="O143" s="509">
        <f>IF($AP$141&gt;M143,(M143*4)+$V$153,$V$153)</f>
        <v>914</v>
      </c>
      <c r="P143" s="8"/>
      <c r="Q143" s="657">
        <v>100</v>
      </c>
      <c r="S143" s="101" t="s">
        <v>279</v>
      </c>
      <c r="T143" s="102">
        <v>25</v>
      </c>
      <c r="U143" s="116">
        <v>0</v>
      </c>
      <c r="V143" s="102">
        <v>200</v>
      </c>
      <c r="AG143" s="517"/>
      <c r="AH143" s="518"/>
      <c r="AI143" s="513" t="s">
        <v>214</v>
      </c>
      <c r="AJ143" s="526" t="s">
        <v>96</v>
      </c>
      <c r="AK143" s="512" t="s">
        <v>193</v>
      </c>
      <c r="AL143" s="513">
        <v>65</v>
      </c>
      <c r="AM143" s="538">
        <v>24.67817455665239</v>
      </c>
      <c r="AN143" s="541">
        <v>440</v>
      </c>
      <c r="AP143" s="517"/>
      <c r="AQ143" s="518"/>
      <c r="AR143" s="515" t="s">
        <v>319</v>
      </c>
      <c r="AS143" s="526" t="s">
        <v>96</v>
      </c>
      <c r="AT143" s="516" t="s">
        <v>176</v>
      </c>
      <c r="AU143" s="513">
        <v>200</v>
      </c>
      <c r="AV143" s="658">
        <v>31.048221993508513</v>
      </c>
      <c r="AW143" s="541">
        <f>IF($AP$141&gt;AU143,(AU143*4)+$V$154,$V$154)</f>
        <v>1158</v>
      </c>
    </row>
    <row r="144" spans="1:49" ht="16.3" hidden="1" thickBot="1" x14ac:dyDescent="0.5">
      <c r="A144" s="6">
        <v>2.72</v>
      </c>
      <c r="B144" s="668" t="s">
        <v>238</v>
      </c>
      <c r="C144" s="671">
        <v>6.8</v>
      </c>
      <c r="D144" s="671">
        <v>17</v>
      </c>
      <c r="E144" s="672">
        <v>1700</v>
      </c>
      <c r="G144" s="502">
        <v>41</v>
      </c>
      <c r="H144" s="517"/>
      <c r="I144" s="518"/>
      <c r="J144" s="505" t="s">
        <v>319</v>
      </c>
      <c r="K144" s="525" t="s">
        <v>96</v>
      </c>
      <c r="L144" s="507" t="s">
        <v>176</v>
      </c>
      <c r="M144" s="508">
        <v>200</v>
      </c>
      <c r="N144" s="508" t="s">
        <v>343</v>
      </c>
      <c r="O144" s="509">
        <f>IF($AP$141&gt;M144,(M144*4)+$V$154,$V$154)</f>
        <v>1158</v>
      </c>
      <c r="P144" s="8"/>
      <c r="Q144" s="657">
        <v>125</v>
      </c>
      <c r="S144" s="101" t="s">
        <v>280</v>
      </c>
      <c r="T144" s="102">
        <v>32</v>
      </c>
      <c r="U144" s="116">
        <v>0</v>
      </c>
      <c r="V144" s="102">
        <v>128</v>
      </c>
      <c r="AG144" s="517"/>
      <c r="AH144" s="518"/>
      <c r="AI144" s="513" t="s">
        <v>219</v>
      </c>
      <c r="AJ144" s="526" t="s">
        <v>95</v>
      </c>
      <c r="AK144" s="512" t="s">
        <v>194</v>
      </c>
      <c r="AL144" s="513">
        <v>80</v>
      </c>
      <c r="AM144" s="513">
        <v>14.250032697803595</v>
      </c>
      <c r="AN144" s="514">
        <v>520</v>
      </c>
      <c r="AP144" s="517"/>
      <c r="AQ144" s="518"/>
      <c r="AR144" s="515" t="s">
        <v>320</v>
      </c>
      <c r="AS144" s="526" t="s">
        <v>96</v>
      </c>
      <c r="AT144" s="516" t="s">
        <v>324</v>
      </c>
      <c r="AU144" s="513">
        <v>250</v>
      </c>
      <c r="AV144" s="513" t="s">
        <v>327</v>
      </c>
      <c r="AW144" s="541">
        <f>IF($AP$141&gt;AU144,(AU144*4)+$V$155,$V$155)</f>
        <v>1400</v>
      </c>
    </row>
    <row r="145" spans="1:49" ht="16.3" hidden="1" thickBot="1" x14ac:dyDescent="0.5">
      <c r="A145" s="6">
        <v>2.72</v>
      </c>
      <c r="B145" s="668" t="s">
        <v>239</v>
      </c>
      <c r="C145" s="673">
        <v>3.78</v>
      </c>
      <c r="D145" s="673">
        <v>17</v>
      </c>
      <c r="E145" s="674">
        <v>1700</v>
      </c>
      <c r="G145" s="502"/>
      <c r="H145" s="517"/>
      <c r="I145" s="518"/>
      <c r="J145" s="505" t="s">
        <v>320</v>
      </c>
      <c r="K145" s="525" t="s">
        <v>96</v>
      </c>
      <c r="L145" s="507" t="s">
        <v>324</v>
      </c>
      <c r="M145" s="508">
        <v>250</v>
      </c>
      <c r="N145" s="508" t="s">
        <v>327</v>
      </c>
      <c r="O145" s="509">
        <f>IF($AP$141&gt;M145,(M145*4)+$V$155,$V$155)</f>
        <v>1400</v>
      </c>
      <c r="P145" s="8"/>
      <c r="Q145" s="657">
        <v>150</v>
      </c>
      <c r="S145" s="101" t="s">
        <v>281</v>
      </c>
      <c r="T145" s="102">
        <v>32</v>
      </c>
      <c r="U145" s="116">
        <v>0</v>
      </c>
      <c r="V145" s="102">
        <v>200</v>
      </c>
      <c r="AG145" s="517"/>
      <c r="AH145" s="518"/>
      <c r="AI145" s="513" t="s">
        <v>220</v>
      </c>
      <c r="AJ145" s="526" t="s">
        <v>96</v>
      </c>
      <c r="AK145" s="512" t="s">
        <v>194</v>
      </c>
      <c r="AL145" s="513">
        <v>80</v>
      </c>
      <c r="AM145" s="513">
        <v>14.250032697803595</v>
      </c>
      <c r="AN145" s="514">
        <v>520</v>
      </c>
      <c r="AP145" s="517"/>
      <c r="AQ145" s="518"/>
      <c r="AR145" s="515" t="s">
        <v>322</v>
      </c>
      <c r="AS145" s="526" t="s">
        <v>96</v>
      </c>
      <c r="AT145" s="516" t="s">
        <v>325</v>
      </c>
      <c r="AU145" s="513">
        <v>300</v>
      </c>
      <c r="AV145" s="513">
        <v>0</v>
      </c>
      <c r="AW145" s="541">
        <f>IF($AP$141&gt;AU145,(AU145*4)+$V$156,$V$156)</f>
        <v>438</v>
      </c>
    </row>
    <row r="146" spans="1:49" ht="16.3" hidden="1" thickBot="1" x14ac:dyDescent="0.5">
      <c r="A146" s="6">
        <v>8.27</v>
      </c>
      <c r="B146" s="668" t="s">
        <v>240</v>
      </c>
      <c r="C146" s="675">
        <v>20.7</v>
      </c>
      <c r="D146" s="675">
        <v>31</v>
      </c>
      <c r="E146" s="676">
        <v>3100</v>
      </c>
      <c r="G146" s="486">
        <v>42</v>
      </c>
      <c r="H146" s="517"/>
      <c r="I146" s="518"/>
      <c r="J146" s="505" t="s">
        <v>322</v>
      </c>
      <c r="K146" s="525" t="s">
        <v>96</v>
      </c>
      <c r="L146" s="507" t="s">
        <v>325</v>
      </c>
      <c r="M146" s="508">
        <v>300</v>
      </c>
      <c r="N146" s="508">
        <v>0</v>
      </c>
      <c r="O146" s="509">
        <f>IF($AP$141&gt;M146,(M146*4)+$V$156,$V$156)</f>
        <v>438</v>
      </c>
      <c r="Q146" s="657">
        <v>200</v>
      </c>
      <c r="S146" s="101" t="s">
        <v>282</v>
      </c>
      <c r="T146" s="102">
        <v>40</v>
      </c>
      <c r="U146" s="116">
        <v>0</v>
      </c>
      <c r="V146" s="102">
        <v>186</v>
      </c>
      <c r="AG146" s="517"/>
      <c r="AH146" s="518"/>
      <c r="AI146" s="513" t="s">
        <v>221</v>
      </c>
      <c r="AJ146" s="526" t="s">
        <v>95</v>
      </c>
      <c r="AK146" s="512" t="s">
        <v>135</v>
      </c>
      <c r="AL146" s="513">
        <v>100</v>
      </c>
      <c r="AM146" s="513">
        <v>0</v>
      </c>
      <c r="AN146" s="514">
        <v>250</v>
      </c>
      <c r="AP146" s="517">
        <v>350</v>
      </c>
      <c r="AQ146" s="518">
        <v>4</v>
      </c>
      <c r="AR146" s="515" t="s">
        <v>312</v>
      </c>
      <c r="AS146" s="526" t="s">
        <v>96</v>
      </c>
      <c r="AT146" s="516" t="s">
        <v>123</v>
      </c>
      <c r="AU146" s="513">
        <v>150</v>
      </c>
      <c r="AV146" s="513" t="s">
        <v>330</v>
      </c>
      <c r="AW146" s="541">
        <f>IF($AP$146&gt;AU146,(AU146*4)+$V$153,$V$153)</f>
        <v>914</v>
      </c>
    </row>
    <row r="147" spans="1:49" ht="16.3" hidden="1" thickBot="1" x14ac:dyDescent="0.5">
      <c r="A147" s="6">
        <v>4.96</v>
      </c>
      <c r="B147" s="668" t="s">
        <v>241</v>
      </c>
      <c r="C147" s="677">
        <v>12.4</v>
      </c>
      <c r="D147" s="677">
        <v>31</v>
      </c>
      <c r="E147" s="678">
        <v>3100</v>
      </c>
      <c r="G147" s="502">
        <v>43</v>
      </c>
      <c r="H147" s="517">
        <v>350</v>
      </c>
      <c r="I147" s="518">
        <v>4</v>
      </c>
      <c r="J147" s="505" t="s">
        <v>312</v>
      </c>
      <c r="K147" s="525" t="s">
        <v>96</v>
      </c>
      <c r="L147" s="507" t="s">
        <v>123</v>
      </c>
      <c r="M147" s="508">
        <v>150</v>
      </c>
      <c r="N147" s="508" t="s">
        <v>330</v>
      </c>
      <c r="O147" s="509">
        <f>IF($AP$146&gt;M147,(M147*4)+$V$153,$V$153)</f>
        <v>914</v>
      </c>
      <c r="Q147" s="657">
        <v>250</v>
      </c>
      <c r="S147" s="101" t="s">
        <v>283</v>
      </c>
      <c r="T147" s="102">
        <v>40</v>
      </c>
      <c r="U147" s="116">
        <v>0</v>
      </c>
      <c r="V147" s="102">
        <v>200</v>
      </c>
      <c r="AG147" s="544"/>
      <c r="AH147" s="518"/>
      <c r="AI147" s="513" t="s">
        <v>222</v>
      </c>
      <c r="AJ147" s="526" t="s">
        <v>96</v>
      </c>
      <c r="AK147" s="512" t="s">
        <v>135</v>
      </c>
      <c r="AL147" s="513">
        <v>100</v>
      </c>
      <c r="AM147" s="513">
        <v>0</v>
      </c>
      <c r="AN147" s="514">
        <v>250</v>
      </c>
      <c r="AP147" s="517"/>
      <c r="AQ147" s="518"/>
      <c r="AR147" s="515" t="s">
        <v>319</v>
      </c>
      <c r="AS147" s="526" t="s">
        <v>96</v>
      </c>
      <c r="AT147" s="516" t="s">
        <v>177</v>
      </c>
      <c r="AU147" s="513">
        <v>200</v>
      </c>
      <c r="AV147" s="513" t="s">
        <v>331</v>
      </c>
      <c r="AW147" s="541">
        <f>IF($AP$146&gt;AU147,(AU147*4)+$V$154,$V$154)</f>
        <v>1158</v>
      </c>
    </row>
    <row r="148" spans="1:49" ht="16.3" hidden="1" thickBot="1" x14ac:dyDescent="0.5">
      <c r="A148" s="6">
        <v>4.96</v>
      </c>
      <c r="B148" s="668" t="s">
        <v>242</v>
      </c>
      <c r="C148" s="680">
        <v>6.89</v>
      </c>
      <c r="D148" s="680">
        <v>31</v>
      </c>
      <c r="E148" s="681">
        <v>3100</v>
      </c>
      <c r="G148" s="486">
        <v>44</v>
      </c>
      <c r="H148" s="517"/>
      <c r="I148" s="518"/>
      <c r="J148" s="505" t="s">
        <v>319</v>
      </c>
      <c r="K148" s="525" t="s">
        <v>96</v>
      </c>
      <c r="L148" s="507" t="s">
        <v>177</v>
      </c>
      <c r="M148" s="508">
        <v>200</v>
      </c>
      <c r="N148" s="508" t="s">
        <v>331</v>
      </c>
      <c r="O148" s="509">
        <f>IF($AP$146&gt;M148,(M148*4)+$V$154,$V$154)</f>
        <v>1158</v>
      </c>
      <c r="Q148" s="679">
        <v>300</v>
      </c>
      <c r="S148" s="101" t="s">
        <v>284</v>
      </c>
      <c r="T148" s="102">
        <v>50</v>
      </c>
      <c r="U148" s="116">
        <v>0</v>
      </c>
      <c r="V148" s="102">
        <v>153</v>
      </c>
      <c r="AG148" s="529">
        <v>125</v>
      </c>
      <c r="AH148" s="530">
        <v>8</v>
      </c>
      <c r="AI148" s="513" t="s">
        <v>211</v>
      </c>
      <c r="AJ148" s="526" t="s">
        <v>95</v>
      </c>
      <c r="AK148" s="512" t="s">
        <v>13</v>
      </c>
      <c r="AL148" s="513">
        <v>50</v>
      </c>
      <c r="AM148" s="513">
        <v>41.112090439166927</v>
      </c>
      <c r="AN148" s="514">
        <v>353</v>
      </c>
      <c r="AP148" s="517"/>
      <c r="AQ148" s="518"/>
      <c r="AR148" s="515" t="s">
        <v>320</v>
      </c>
      <c r="AS148" s="526" t="s">
        <v>96</v>
      </c>
      <c r="AT148" s="516" t="s">
        <v>328</v>
      </c>
      <c r="AU148" s="513">
        <v>250</v>
      </c>
      <c r="AV148" s="513" t="s">
        <v>332</v>
      </c>
      <c r="AW148" s="541">
        <f>IF($AP$146&gt;AU148,(AU148*4)+$V$155,$V$155)</f>
        <v>1400</v>
      </c>
    </row>
    <row r="149" spans="1:49" ht="15.9" hidden="1" x14ac:dyDescent="0.45">
      <c r="A149" s="6">
        <v>8.0000000000000002E-3</v>
      </c>
      <c r="B149" s="567" t="s">
        <v>420</v>
      </c>
      <c r="C149" s="568">
        <v>1.2E-2</v>
      </c>
      <c r="D149" s="568">
        <v>0.06</v>
      </c>
      <c r="E149" s="569">
        <v>6</v>
      </c>
      <c r="G149" s="502">
        <v>45</v>
      </c>
      <c r="H149" s="517"/>
      <c r="I149" s="518"/>
      <c r="J149" s="505" t="s">
        <v>320</v>
      </c>
      <c r="K149" s="525" t="s">
        <v>96</v>
      </c>
      <c r="L149" s="507" t="s">
        <v>328</v>
      </c>
      <c r="M149" s="508">
        <v>250</v>
      </c>
      <c r="N149" s="508" t="s">
        <v>332</v>
      </c>
      <c r="O149" s="509">
        <f>IF($AP$146&gt;M149,(M149*4)+$V$155,$V$155)</f>
        <v>1400</v>
      </c>
      <c r="Q149" s="679">
        <v>350</v>
      </c>
      <c r="S149" s="101" t="s">
        <v>285</v>
      </c>
      <c r="T149" s="102">
        <v>50</v>
      </c>
      <c r="U149" s="116">
        <v>0</v>
      </c>
      <c r="V149" s="102">
        <v>200</v>
      </c>
      <c r="AG149" s="517"/>
      <c r="AH149" s="518"/>
      <c r="AI149" s="513" t="s">
        <v>212</v>
      </c>
      <c r="AJ149" s="526" t="s">
        <v>96</v>
      </c>
      <c r="AK149" s="512" t="s">
        <v>13</v>
      </c>
      <c r="AL149" s="513">
        <v>50</v>
      </c>
      <c r="AM149" s="513">
        <v>41.112090439166927</v>
      </c>
      <c r="AN149" s="514">
        <v>353</v>
      </c>
      <c r="AP149" s="517"/>
      <c r="AQ149" s="518"/>
      <c r="AR149" s="515" t="s">
        <v>322</v>
      </c>
      <c r="AS149" s="526" t="s">
        <v>96</v>
      </c>
      <c r="AT149" s="516" t="s">
        <v>329</v>
      </c>
      <c r="AU149" s="513">
        <v>300</v>
      </c>
      <c r="AV149" s="513" t="s">
        <v>333</v>
      </c>
      <c r="AW149" s="541">
        <f>IF($AP$146&gt;AU149,(AU149*4)+$V$156,$V$156)</f>
        <v>1638</v>
      </c>
    </row>
    <row r="150" spans="1:49" ht="16.3" hidden="1" thickBot="1" x14ac:dyDescent="0.5">
      <c r="A150" s="6">
        <v>4.0000000000000001E-3</v>
      </c>
      <c r="B150" s="570" t="s">
        <v>433</v>
      </c>
      <c r="C150" s="571">
        <v>6.0000000000000001E-3</v>
      </c>
      <c r="D150" s="571">
        <v>0.06</v>
      </c>
      <c r="E150" s="572">
        <v>6</v>
      </c>
      <c r="G150" s="486">
        <v>46</v>
      </c>
      <c r="H150" s="517"/>
      <c r="I150" s="518"/>
      <c r="J150" s="505" t="s">
        <v>322</v>
      </c>
      <c r="K150" s="525" t="s">
        <v>96</v>
      </c>
      <c r="L150" s="507" t="s">
        <v>329</v>
      </c>
      <c r="M150" s="508">
        <v>300</v>
      </c>
      <c r="N150" s="508" t="s">
        <v>333</v>
      </c>
      <c r="O150" s="509">
        <f>IF($AP$146&gt;M150,(M150*4)+$V$156,$V$156)</f>
        <v>1638</v>
      </c>
      <c r="Q150" s="682">
        <v>400</v>
      </c>
      <c r="S150" s="101" t="s">
        <v>286</v>
      </c>
      <c r="T150" s="102">
        <v>65</v>
      </c>
      <c r="U150" s="116">
        <v>0</v>
      </c>
      <c r="V150" s="102">
        <v>200</v>
      </c>
      <c r="AG150" s="517"/>
      <c r="AH150" s="518"/>
      <c r="AI150" s="513" t="s">
        <v>213</v>
      </c>
      <c r="AJ150" s="526" t="s">
        <v>95</v>
      </c>
      <c r="AK150" s="512" t="s">
        <v>195</v>
      </c>
      <c r="AL150" s="513">
        <v>65</v>
      </c>
      <c r="AM150" s="538">
        <v>33.398488467987242</v>
      </c>
      <c r="AN150" s="541">
        <v>440</v>
      </c>
      <c r="AP150" s="517">
        <v>400</v>
      </c>
      <c r="AQ150" s="518">
        <v>4</v>
      </c>
      <c r="AR150" s="515" t="s">
        <v>312</v>
      </c>
      <c r="AS150" s="526" t="s">
        <v>96</v>
      </c>
      <c r="AT150" s="516" t="s">
        <v>334</v>
      </c>
      <c r="AU150" s="513">
        <v>150</v>
      </c>
      <c r="AV150" s="538" t="s">
        <v>337</v>
      </c>
      <c r="AW150" s="541">
        <f>IF($AP$150&gt;AU150,(AU150*4)+$V$153,$V$153)</f>
        <v>914</v>
      </c>
    </row>
    <row r="151" spans="1:49" ht="15.9" hidden="1" x14ac:dyDescent="0.45">
      <c r="A151" s="6">
        <v>1.6E-2</v>
      </c>
      <c r="B151" s="579" t="s">
        <v>421</v>
      </c>
      <c r="C151" s="580">
        <v>2.4E-2</v>
      </c>
      <c r="D151" s="580">
        <v>0.12</v>
      </c>
      <c r="E151" s="581">
        <v>12</v>
      </c>
      <c r="G151" s="486"/>
      <c r="H151" s="517">
        <v>400</v>
      </c>
      <c r="I151" s="518">
        <v>4</v>
      </c>
      <c r="J151" s="505" t="s">
        <v>312</v>
      </c>
      <c r="K151" s="525" t="s">
        <v>96</v>
      </c>
      <c r="L151" s="507" t="s">
        <v>334</v>
      </c>
      <c r="M151" s="508">
        <v>150</v>
      </c>
      <c r="N151" s="508" t="s">
        <v>337</v>
      </c>
      <c r="O151" s="509">
        <f>IF($AP$150&gt;M151,(M151*4)+$V$153,$V$153)</f>
        <v>914</v>
      </c>
      <c r="Q151" s="679">
        <v>500</v>
      </c>
      <c r="S151" s="101" t="s">
        <v>287</v>
      </c>
      <c r="T151" s="102">
        <v>80</v>
      </c>
      <c r="U151" s="116">
        <v>0</v>
      </c>
      <c r="V151" s="102">
        <v>200</v>
      </c>
      <c r="AG151" s="517"/>
      <c r="AH151" s="518"/>
      <c r="AI151" s="513" t="s">
        <v>214</v>
      </c>
      <c r="AJ151" s="526" t="s">
        <v>96</v>
      </c>
      <c r="AK151" s="512" t="s">
        <v>195</v>
      </c>
      <c r="AL151" s="513">
        <v>65</v>
      </c>
      <c r="AM151" s="538">
        <v>33.398488467987242</v>
      </c>
      <c r="AN151" s="541">
        <v>440</v>
      </c>
      <c r="AP151" s="517"/>
      <c r="AQ151" s="518"/>
      <c r="AR151" s="515" t="s">
        <v>319</v>
      </c>
      <c r="AS151" s="526" t="s">
        <v>96</v>
      </c>
      <c r="AT151" s="516" t="s">
        <v>178</v>
      </c>
      <c r="AU151" s="513">
        <v>200</v>
      </c>
      <c r="AV151" s="538" t="s">
        <v>330</v>
      </c>
      <c r="AW151" s="541">
        <f>IF($AP$150&gt;AU151,(AU151*4)+$V$154,$V$154)</f>
        <v>1158</v>
      </c>
    </row>
    <row r="152" spans="1:49" ht="16.3" hidden="1" thickBot="1" x14ac:dyDescent="0.5">
      <c r="A152" s="6">
        <v>8.0000000000000002E-3</v>
      </c>
      <c r="B152" s="583" t="s">
        <v>434</v>
      </c>
      <c r="C152" s="584">
        <v>1.2E-2</v>
      </c>
      <c r="D152" s="584">
        <v>0.12</v>
      </c>
      <c r="E152" s="585">
        <v>12</v>
      </c>
      <c r="F152" s="259"/>
      <c r="G152" s="502">
        <v>47</v>
      </c>
      <c r="H152" s="517"/>
      <c r="I152" s="518"/>
      <c r="J152" s="505" t="s">
        <v>319</v>
      </c>
      <c r="K152" s="525" t="s">
        <v>96</v>
      </c>
      <c r="L152" s="507" t="s">
        <v>178</v>
      </c>
      <c r="M152" s="508">
        <v>200</v>
      </c>
      <c r="N152" s="508" t="s">
        <v>330</v>
      </c>
      <c r="O152" s="509">
        <f>IF($AP$150&gt;M152,(M152*4)+$V$154,$V$154)</f>
        <v>1158</v>
      </c>
      <c r="Q152" s="682">
        <v>600</v>
      </c>
      <c r="S152" s="101" t="s">
        <v>288</v>
      </c>
      <c r="T152" s="102">
        <v>100</v>
      </c>
      <c r="U152" s="116">
        <v>0</v>
      </c>
      <c r="V152" s="102">
        <v>250</v>
      </c>
      <c r="AG152" s="517"/>
      <c r="AH152" s="518"/>
      <c r="AI152" s="513" t="s">
        <v>219</v>
      </c>
      <c r="AJ152" s="526" t="s">
        <v>95</v>
      </c>
      <c r="AK152" s="512" t="s">
        <v>196</v>
      </c>
      <c r="AL152" s="513">
        <v>80</v>
      </c>
      <c r="AM152" s="513">
        <v>25.117673881895147</v>
      </c>
      <c r="AN152" s="514">
        <v>520</v>
      </c>
      <c r="AP152" s="517"/>
      <c r="AQ152" s="518"/>
      <c r="AR152" s="515" t="s">
        <v>320</v>
      </c>
      <c r="AS152" s="526" t="s">
        <v>96</v>
      </c>
      <c r="AT152" s="516" t="s">
        <v>335</v>
      </c>
      <c r="AU152" s="513">
        <v>250</v>
      </c>
      <c r="AV152" s="513" t="s">
        <v>331</v>
      </c>
      <c r="AW152" s="541">
        <f>IF($AP$150&gt;AU152,(AU152*4)+$V$155,$V$155)</f>
        <v>1400</v>
      </c>
    </row>
    <row r="153" spans="1:49" ht="15.9" hidden="1" x14ac:dyDescent="0.45">
      <c r="A153" s="6">
        <v>2.4E-2</v>
      </c>
      <c r="B153" s="589" t="s">
        <v>422</v>
      </c>
      <c r="C153" s="590">
        <v>3.5999999999999997E-2</v>
      </c>
      <c r="D153" s="590">
        <v>0.18</v>
      </c>
      <c r="E153" s="591">
        <v>18</v>
      </c>
      <c r="F153" s="259"/>
      <c r="G153" s="502"/>
      <c r="H153" s="517"/>
      <c r="I153" s="518"/>
      <c r="J153" s="505" t="s">
        <v>320</v>
      </c>
      <c r="K153" s="525" t="s">
        <v>96</v>
      </c>
      <c r="L153" s="507" t="s">
        <v>335</v>
      </c>
      <c r="M153" s="508">
        <v>250</v>
      </c>
      <c r="N153" s="508" t="s">
        <v>331</v>
      </c>
      <c r="O153" s="509">
        <f>IF($AP$150&gt;M153,(M153*4)+$V$155,$V$155)</f>
        <v>1400</v>
      </c>
      <c r="S153" s="101" t="s">
        <v>289</v>
      </c>
      <c r="T153" s="102">
        <v>150</v>
      </c>
      <c r="U153" s="116">
        <v>0</v>
      </c>
      <c r="V153" s="102">
        <v>314</v>
      </c>
      <c r="AG153" s="517"/>
      <c r="AH153" s="518"/>
      <c r="AI153" s="513" t="s">
        <v>220</v>
      </c>
      <c r="AJ153" s="526" t="s">
        <v>96</v>
      </c>
      <c r="AK153" s="512" t="s">
        <v>196</v>
      </c>
      <c r="AL153" s="513">
        <v>80</v>
      </c>
      <c r="AM153" s="513">
        <v>25.117673881895147</v>
      </c>
      <c r="AN153" s="514">
        <v>520</v>
      </c>
      <c r="AP153" s="517"/>
      <c r="AQ153" s="518"/>
      <c r="AR153" s="515" t="s">
        <v>322</v>
      </c>
      <c r="AS153" s="526" t="s">
        <v>96</v>
      </c>
      <c r="AT153" s="516" t="s">
        <v>336</v>
      </c>
      <c r="AU153" s="513">
        <v>300</v>
      </c>
      <c r="AV153" s="513" t="s">
        <v>332</v>
      </c>
      <c r="AW153" s="541">
        <f>IF($AP$150&gt;AU153,(AU153*4)+$V$156,$V$156)</f>
        <v>1638</v>
      </c>
    </row>
    <row r="154" spans="1:49" ht="16.3" hidden="1" thickBot="1" x14ac:dyDescent="0.5">
      <c r="A154" s="6">
        <v>1.2E-2</v>
      </c>
      <c r="B154" s="592" t="s">
        <v>435</v>
      </c>
      <c r="C154" s="593">
        <v>1.7999999999999999E-2</v>
      </c>
      <c r="D154" s="593">
        <v>0.18</v>
      </c>
      <c r="E154" s="594">
        <v>18</v>
      </c>
      <c r="F154" s="259"/>
      <c r="G154" s="486">
        <v>48</v>
      </c>
      <c r="H154" s="517"/>
      <c r="I154" s="518"/>
      <c r="J154" s="505" t="s">
        <v>322</v>
      </c>
      <c r="K154" s="525" t="s">
        <v>96</v>
      </c>
      <c r="L154" s="507" t="s">
        <v>336</v>
      </c>
      <c r="M154" s="508">
        <v>300</v>
      </c>
      <c r="N154" s="508" t="s">
        <v>332</v>
      </c>
      <c r="O154" s="509">
        <f>IF($AP$150&gt;M154,(M154*4)+$V$156,$V$156)</f>
        <v>1638</v>
      </c>
      <c r="S154" s="101" t="s">
        <v>290</v>
      </c>
      <c r="T154" s="102">
        <v>200</v>
      </c>
      <c r="U154" s="116">
        <v>0</v>
      </c>
      <c r="V154" s="102">
        <v>358</v>
      </c>
      <c r="AG154" s="517"/>
      <c r="AH154" s="518"/>
      <c r="AI154" s="513" t="s">
        <v>221</v>
      </c>
      <c r="AJ154" s="526" t="s">
        <v>95</v>
      </c>
      <c r="AK154" s="684" t="s">
        <v>136</v>
      </c>
      <c r="AL154" s="513">
        <v>100</v>
      </c>
      <c r="AM154" s="513">
        <v>14.250032697803595</v>
      </c>
      <c r="AN154" s="514">
        <v>650</v>
      </c>
      <c r="AP154" s="517">
        <v>500</v>
      </c>
      <c r="AQ154" s="518">
        <v>4</v>
      </c>
      <c r="AR154" s="515" t="s">
        <v>312</v>
      </c>
      <c r="AS154" s="526" t="s">
        <v>96</v>
      </c>
      <c r="AT154" s="685" t="s">
        <v>338</v>
      </c>
      <c r="AU154" s="513">
        <v>150</v>
      </c>
      <c r="AV154" s="513" t="s">
        <v>342</v>
      </c>
      <c r="AW154" s="541">
        <f>IF($AP$154&gt;AU154,(AU154*4)+$V$153,$V$153)</f>
        <v>914</v>
      </c>
    </row>
    <row r="155" spans="1:49" ht="15.9" hidden="1" x14ac:dyDescent="0.45">
      <c r="A155" s="6">
        <v>0.04</v>
      </c>
      <c r="B155" s="599" t="s">
        <v>423</v>
      </c>
      <c r="C155" s="600">
        <v>0.06</v>
      </c>
      <c r="D155" s="600">
        <v>0.3</v>
      </c>
      <c r="E155" s="601">
        <v>30</v>
      </c>
      <c r="F155" s="259"/>
      <c r="G155" s="502">
        <v>49</v>
      </c>
      <c r="H155" s="517">
        <v>500</v>
      </c>
      <c r="I155" s="518">
        <v>4</v>
      </c>
      <c r="J155" s="505" t="s">
        <v>312</v>
      </c>
      <c r="K155" s="525" t="s">
        <v>96</v>
      </c>
      <c r="L155" s="683" t="s">
        <v>338</v>
      </c>
      <c r="M155" s="508">
        <v>150</v>
      </c>
      <c r="N155" s="508" t="s">
        <v>342</v>
      </c>
      <c r="O155" s="509">
        <f>IF($AP$154&gt;M155,(M155*4)+$V$153,$V$153)</f>
        <v>914</v>
      </c>
      <c r="S155" s="101" t="s">
        <v>291</v>
      </c>
      <c r="T155" s="102">
        <v>580</v>
      </c>
      <c r="U155" s="116">
        <v>0</v>
      </c>
      <c r="V155" s="102">
        <v>400</v>
      </c>
      <c r="AG155" s="517"/>
      <c r="AH155" s="545"/>
      <c r="AI155" s="513" t="s">
        <v>222</v>
      </c>
      <c r="AJ155" s="526" t="s">
        <v>96</v>
      </c>
      <c r="AK155" s="684" t="s">
        <v>136</v>
      </c>
      <c r="AL155" s="513">
        <v>100</v>
      </c>
      <c r="AM155" s="513">
        <v>14.250032697803595</v>
      </c>
      <c r="AN155" s="514">
        <v>650</v>
      </c>
      <c r="AP155" s="517"/>
      <c r="AQ155" s="518"/>
      <c r="AR155" s="515" t="s">
        <v>319</v>
      </c>
      <c r="AS155" s="526" t="s">
        <v>96</v>
      </c>
      <c r="AT155" s="685" t="s">
        <v>339</v>
      </c>
      <c r="AU155" s="513">
        <v>200</v>
      </c>
      <c r="AV155" s="513" t="s">
        <v>343</v>
      </c>
      <c r="AW155" s="541">
        <f>IF($AP$154&gt;AU155,(AU155*4)+$V$154,$V$154)</f>
        <v>1158</v>
      </c>
    </row>
    <row r="156" spans="1:49" ht="16.3" hidden="1" thickBot="1" x14ac:dyDescent="0.5">
      <c r="A156" s="6">
        <v>0.02</v>
      </c>
      <c r="B156" s="603" t="s">
        <v>436</v>
      </c>
      <c r="C156" s="604">
        <v>0.03</v>
      </c>
      <c r="D156" s="604">
        <v>0.3</v>
      </c>
      <c r="E156" s="605">
        <v>30</v>
      </c>
      <c r="F156" s="259"/>
      <c r="G156" s="486">
        <v>50</v>
      </c>
      <c r="H156" s="517"/>
      <c r="I156" s="518"/>
      <c r="J156" s="505" t="s">
        <v>319</v>
      </c>
      <c r="K156" s="525" t="s">
        <v>96</v>
      </c>
      <c r="L156" s="683" t="s">
        <v>339</v>
      </c>
      <c r="M156" s="508">
        <v>200</v>
      </c>
      <c r="N156" s="508" t="s">
        <v>343</v>
      </c>
      <c r="O156" s="509">
        <f>IF($AP$154&gt;M156,(M156*4)+$V$154,$V$154)</f>
        <v>1158</v>
      </c>
      <c r="S156" s="101" t="s">
        <v>292</v>
      </c>
      <c r="T156" s="102">
        <v>300</v>
      </c>
      <c r="U156" s="116">
        <v>0</v>
      </c>
      <c r="V156" s="102">
        <v>438</v>
      </c>
      <c r="AG156" s="529">
        <v>150</v>
      </c>
      <c r="AH156" s="530">
        <v>7</v>
      </c>
      <c r="AI156" s="513" t="s">
        <v>213</v>
      </c>
      <c r="AJ156" s="526" t="s">
        <v>95</v>
      </c>
      <c r="AK156" s="512" t="s">
        <v>197</v>
      </c>
      <c r="AL156" s="513">
        <v>65</v>
      </c>
      <c r="AM156" s="538">
        <v>59.077564519116194</v>
      </c>
      <c r="AN156" s="541">
        <v>440</v>
      </c>
      <c r="AP156" s="517"/>
      <c r="AQ156" s="518"/>
      <c r="AR156" s="515" t="s">
        <v>320</v>
      </c>
      <c r="AS156" s="526" t="s">
        <v>96</v>
      </c>
      <c r="AT156" s="516" t="s">
        <v>340</v>
      </c>
      <c r="AU156" s="513">
        <v>250</v>
      </c>
      <c r="AV156" s="538" t="s">
        <v>344</v>
      </c>
      <c r="AW156" s="541">
        <f>IF($AP$154&gt;AU156,(AU156*4)+$V$155,$V$155)</f>
        <v>1400</v>
      </c>
    </row>
    <row r="157" spans="1:49" hidden="1" x14ac:dyDescent="0.3">
      <c r="A157" s="6">
        <v>0.06</v>
      </c>
      <c r="B157" s="612" t="s">
        <v>424</v>
      </c>
      <c r="C157" s="613">
        <v>0.09</v>
      </c>
      <c r="D157" s="613">
        <v>0.45</v>
      </c>
      <c r="E157" s="614">
        <v>45</v>
      </c>
      <c r="F157" s="259"/>
      <c r="G157" s="486"/>
      <c r="H157" s="517"/>
      <c r="I157" s="518"/>
      <c r="J157" s="505" t="s">
        <v>320</v>
      </c>
      <c r="K157" s="525" t="s">
        <v>96</v>
      </c>
      <c r="L157" s="507" t="s">
        <v>340</v>
      </c>
      <c r="M157" s="508">
        <v>250</v>
      </c>
      <c r="N157" s="508" t="s">
        <v>344</v>
      </c>
      <c r="O157" s="509">
        <f>IF($AP$154&gt;M157,(M157*4)+$V$155,$V$155)</f>
        <v>1400</v>
      </c>
      <c r="AG157" s="517"/>
      <c r="AH157" s="687"/>
      <c r="AI157" s="513" t="s">
        <v>214</v>
      </c>
      <c r="AJ157" s="526" t="s">
        <v>96</v>
      </c>
      <c r="AK157" s="512" t="s">
        <v>197</v>
      </c>
      <c r="AL157" s="513">
        <v>65</v>
      </c>
      <c r="AM157" s="538">
        <v>59.077564519116194</v>
      </c>
      <c r="AN157" s="541">
        <v>440</v>
      </c>
      <c r="AP157" s="517"/>
      <c r="AQ157" s="518"/>
      <c r="AR157" s="515" t="s">
        <v>322</v>
      </c>
      <c r="AS157" s="526" t="s">
        <v>96</v>
      </c>
      <c r="AT157" s="516" t="s">
        <v>341</v>
      </c>
      <c r="AU157" s="513">
        <v>300</v>
      </c>
      <c r="AV157" s="688" t="str">
        <f t="shared" ref="AV157" si="58">CONCATENATE((AV149*2))</f>
        <v>27,16</v>
      </c>
      <c r="AW157" s="541">
        <f>IF($AP$154&gt;AU157,(AU157*4)+$V$156,$V$156)</f>
        <v>1638</v>
      </c>
    </row>
    <row r="158" spans="1:49" ht="12.9" hidden="1" thickBot="1" x14ac:dyDescent="0.35">
      <c r="A158" s="6">
        <v>0.03</v>
      </c>
      <c r="B158" s="617" t="s">
        <v>437</v>
      </c>
      <c r="C158" s="618">
        <v>4.4999999999999998E-2</v>
      </c>
      <c r="D158" s="618">
        <v>0.45</v>
      </c>
      <c r="E158" s="619">
        <v>45</v>
      </c>
      <c r="F158" s="8"/>
      <c r="G158" s="502">
        <v>51</v>
      </c>
      <c r="H158" s="517"/>
      <c r="I158" s="518"/>
      <c r="J158" s="505" t="s">
        <v>322</v>
      </c>
      <c r="K158" s="525" t="s">
        <v>96</v>
      </c>
      <c r="L158" s="507" t="s">
        <v>341</v>
      </c>
      <c r="M158" s="508">
        <v>300</v>
      </c>
      <c r="N158" s="686" t="str">
        <f t="shared" ref="N158" si="59">CONCATENATE((N150*2))</f>
        <v>27,16</v>
      </c>
      <c r="O158" s="509">
        <f>IF($AP$154&gt;M158,(M158*4)+$V$156,$V$156)</f>
        <v>1638</v>
      </c>
      <c r="AG158" s="517"/>
      <c r="AH158" s="687"/>
      <c r="AI158" s="513" t="s">
        <v>219</v>
      </c>
      <c r="AJ158" s="526" t="s">
        <v>95</v>
      </c>
      <c r="AK158" s="512" t="s">
        <v>198</v>
      </c>
      <c r="AL158" s="513">
        <v>80</v>
      </c>
      <c r="AM158" s="513">
        <v>30.136976318984416</v>
      </c>
      <c r="AN158" s="514">
        <v>520</v>
      </c>
      <c r="AP158" s="517">
        <v>600</v>
      </c>
      <c r="AQ158" s="518">
        <v>3</v>
      </c>
      <c r="AR158" s="515" t="s">
        <v>319</v>
      </c>
      <c r="AS158" s="526" t="s">
        <v>96</v>
      </c>
      <c r="AT158" s="516" t="s">
        <v>346</v>
      </c>
      <c r="AU158" s="513">
        <v>200</v>
      </c>
      <c r="AV158" s="513" t="s">
        <v>350</v>
      </c>
      <c r="AW158" s="541">
        <f>IF($AP$158&gt;AU158,(AU158*4)+$V$154,$V$154)</f>
        <v>1158</v>
      </c>
    </row>
    <row r="159" spans="1:49" hidden="1" x14ac:dyDescent="0.3">
      <c r="A159" s="6">
        <v>9.6000000000000002E-2</v>
      </c>
      <c r="B159" s="625" t="s">
        <v>425</v>
      </c>
      <c r="C159" s="626">
        <v>0.14399999999999999</v>
      </c>
      <c r="D159" s="626">
        <v>0.72</v>
      </c>
      <c r="E159" s="627">
        <v>72</v>
      </c>
      <c r="G159" s="502"/>
      <c r="H159" s="517">
        <v>600</v>
      </c>
      <c r="I159" s="518">
        <v>3</v>
      </c>
      <c r="J159" s="505" t="s">
        <v>319</v>
      </c>
      <c r="K159" s="525" t="s">
        <v>96</v>
      </c>
      <c r="L159" s="507" t="s">
        <v>346</v>
      </c>
      <c r="M159" s="508">
        <v>200</v>
      </c>
      <c r="N159" s="508" t="s">
        <v>350</v>
      </c>
      <c r="O159" s="509">
        <f>IF($AP$158&gt;M159,(M159*4)+$V$154,$V$154)</f>
        <v>1158</v>
      </c>
      <c r="AG159" s="517"/>
      <c r="AH159" s="687"/>
      <c r="AI159" s="513" t="s">
        <v>220</v>
      </c>
      <c r="AJ159" s="526" t="s">
        <v>96</v>
      </c>
      <c r="AK159" s="512" t="s">
        <v>198</v>
      </c>
      <c r="AL159" s="513">
        <v>80</v>
      </c>
      <c r="AM159" s="513">
        <v>30.136976318984416</v>
      </c>
      <c r="AN159" s="514">
        <v>520</v>
      </c>
      <c r="AP159" s="517"/>
      <c r="AQ159" s="518"/>
      <c r="AR159" s="515" t="s">
        <v>320</v>
      </c>
      <c r="AS159" s="526" t="s">
        <v>96</v>
      </c>
      <c r="AT159" s="516" t="s">
        <v>347</v>
      </c>
      <c r="AU159" s="513">
        <v>250</v>
      </c>
      <c r="AV159" s="513" t="s">
        <v>349</v>
      </c>
      <c r="AW159" s="541">
        <f>IF($AP$158&gt;AU159,(AU159*4)+$V$155,$V$155)</f>
        <v>1400</v>
      </c>
    </row>
    <row r="160" spans="1:49" ht="12.9" hidden="1" thickBot="1" x14ac:dyDescent="0.35">
      <c r="A160" s="6">
        <v>4.8000000000000001E-2</v>
      </c>
      <c r="B160" s="628" t="s">
        <v>438</v>
      </c>
      <c r="C160" s="629">
        <v>7.1999999999999995E-2</v>
      </c>
      <c r="D160" s="629">
        <v>0.72</v>
      </c>
      <c r="E160" s="630">
        <v>72</v>
      </c>
      <c r="G160" s="486">
        <v>52</v>
      </c>
      <c r="H160" s="517"/>
      <c r="I160" s="518"/>
      <c r="J160" s="505" t="s">
        <v>320</v>
      </c>
      <c r="K160" s="525" t="s">
        <v>96</v>
      </c>
      <c r="L160" s="507" t="s">
        <v>347</v>
      </c>
      <c r="M160" s="508">
        <v>250</v>
      </c>
      <c r="N160" s="508" t="s">
        <v>349</v>
      </c>
      <c r="O160" s="509">
        <f>IF($AP$158&gt;M160,(M160*4)+$V$155,$V$155)</f>
        <v>1400</v>
      </c>
      <c r="AG160" s="517"/>
      <c r="AH160" s="347"/>
      <c r="AI160" s="513" t="s">
        <v>221</v>
      </c>
      <c r="AJ160" s="526" t="s">
        <v>95</v>
      </c>
      <c r="AK160" s="512" t="s">
        <v>137</v>
      </c>
      <c r="AL160" s="513">
        <v>100</v>
      </c>
      <c r="AM160" s="513">
        <v>21.771054109317475</v>
      </c>
      <c r="AN160" s="514">
        <v>650</v>
      </c>
      <c r="AP160" s="517"/>
      <c r="AQ160" s="690"/>
      <c r="AR160" s="515" t="s">
        <v>322</v>
      </c>
      <c r="AS160" s="526" t="s">
        <v>96</v>
      </c>
      <c r="AT160" s="516" t="s">
        <v>348</v>
      </c>
      <c r="AU160" s="513">
        <v>300</v>
      </c>
      <c r="AV160" s="513" t="s">
        <v>345</v>
      </c>
      <c r="AW160" s="541">
        <f>IF($AP$158&gt;AU160,(AU160*4)+$V$156,$V$156)</f>
        <v>1638</v>
      </c>
    </row>
    <row r="161" spans="1:49" ht="12.9" hidden="1" thickBot="1" x14ac:dyDescent="0.35">
      <c r="A161" s="6">
        <v>0.16</v>
      </c>
      <c r="B161" s="637" t="s">
        <v>426</v>
      </c>
      <c r="C161" s="638">
        <v>0.24</v>
      </c>
      <c r="D161" s="638">
        <v>1.2</v>
      </c>
      <c r="E161" s="639">
        <v>120</v>
      </c>
      <c r="G161" s="502"/>
      <c r="H161" s="689"/>
      <c r="I161" s="690"/>
      <c r="J161" s="505" t="s">
        <v>322</v>
      </c>
      <c r="K161" s="525" t="s">
        <v>96</v>
      </c>
      <c r="L161" s="691" t="s">
        <v>348</v>
      </c>
      <c r="M161" s="692">
        <v>300</v>
      </c>
      <c r="N161" s="692" t="s">
        <v>345</v>
      </c>
      <c r="O161" s="693">
        <f>IF($AP$158&gt;M161,(M161*4)+$V$156,$V$156)</f>
        <v>1638</v>
      </c>
      <c r="AG161" s="695"/>
      <c r="AH161" s="690"/>
      <c r="AI161" s="513" t="s">
        <v>222</v>
      </c>
      <c r="AJ161" s="526" t="s">
        <v>96</v>
      </c>
      <c r="AK161" s="512" t="s">
        <v>137</v>
      </c>
      <c r="AL161" s="513">
        <v>100</v>
      </c>
      <c r="AM161" s="513">
        <v>21.771054109317475</v>
      </c>
      <c r="AN161" s="514">
        <v>650</v>
      </c>
      <c r="AP161" s="695"/>
      <c r="AQ161" s="690"/>
      <c r="AR161" s="513"/>
      <c r="AS161" s="526"/>
      <c r="AT161" s="512"/>
      <c r="AU161" s="513"/>
      <c r="AV161" s="513"/>
      <c r="AW161" s="514"/>
    </row>
    <row r="162" spans="1:49" ht="12.9" hidden="1" thickBot="1" x14ac:dyDescent="0.35">
      <c r="A162" s="6">
        <v>0.08</v>
      </c>
      <c r="B162" s="640" t="s">
        <v>439</v>
      </c>
      <c r="C162" s="641">
        <v>0.12</v>
      </c>
      <c r="D162" s="641">
        <v>1.2</v>
      </c>
      <c r="E162" s="642">
        <v>120</v>
      </c>
      <c r="G162" s="486"/>
      <c r="H162" s="694"/>
      <c r="I162" s="687"/>
      <c r="J162" s="694"/>
      <c r="K162" s="694"/>
      <c r="L162" s="694"/>
      <c r="M162" s="694"/>
      <c r="N162" s="694"/>
      <c r="O162" s="259"/>
      <c r="AG162" s="544"/>
      <c r="AH162" s="545"/>
      <c r="AI162" s="513" t="s">
        <v>223</v>
      </c>
      <c r="AJ162" s="526" t="s">
        <v>96</v>
      </c>
      <c r="AK162" s="512" t="s">
        <v>119</v>
      </c>
      <c r="AL162" s="513">
        <v>150</v>
      </c>
      <c r="AM162" s="513">
        <v>0</v>
      </c>
      <c r="AN162" s="514">
        <v>328</v>
      </c>
      <c r="AP162" s="517"/>
      <c r="AQ162" s="518"/>
      <c r="AR162" s="513"/>
      <c r="AS162" s="526"/>
      <c r="AT162" s="512"/>
      <c r="AU162" s="513"/>
      <c r="AV162" s="513"/>
      <c r="AW162" s="514"/>
    </row>
    <row r="163" spans="1:49" hidden="1" x14ac:dyDescent="0.3">
      <c r="A163" s="6">
        <v>0.24</v>
      </c>
      <c r="B163" s="646" t="s">
        <v>427</v>
      </c>
      <c r="C163" s="647">
        <v>0.36</v>
      </c>
      <c r="D163" s="647">
        <v>1.8</v>
      </c>
      <c r="E163" s="648">
        <v>180</v>
      </c>
      <c r="G163" s="502"/>
      <c r="H163" s="694"/>
      <c r="I163" s="687"/>
      <c r="J163" s="694"/>
      <c r="K163" s="694"/>
      <c r="L163" s="694"/>
      <c r="M163" s="694"/>
      <c r="N163" s="694"/>
      <c r="O163" s="259"/>
      <c r="AG163" s="529">
        <v>200</v>
      </c>
      <c r="AH163" s="530">
        <v>6</v>
      </c>
      <c r="AI163" s="513" t="s">
        <v>219</v>
      </c>
      <c r="AJ163" s="526" t="s">
        <v>95</v>
      </c>
      <c r="AK163" s="512" t="s">
        <v>199</v>
      </c>
      <c r="AL163" s="513">
        <v>80</v>
      </c>
      <c r="AM163" s="513">
        <v>64.551288629155266</v>
      </c>
      <c r="AN163" s="514">
        <v>520</v>
      </c>
      <c r="AP163" s="517"/>
      <c r="AQ163" s="518"/>
      <c r="AR163" s="513"/>
      <c r="AS163" s="526"/>
      <c r="AT163" s="512"/>
      <c r="AU163" s="513"/>
      <c r="AW163" s="514"/>
    </row>
    <row r="164" spans="1:49" ht="12.9" hidden="1" thickBot="1" x14ac:dyDescent="0.35">
      <c r="A164" s="6">
        <v>0.12</v>
      </c>
      <c r="B164" s="649" t="s">
        <v>440</v>
      </c>
      <c r="C164" s="650">
        <v>0.18</v>
      </c>
      <c r="D164" s="650">
        <v>1.8</v>
      </c>
      <c r="E164" s="651">
        <v>180</v>
      </c>
      <c r="G164" s="502"/>
      <c r="H164" s="694"/>
      <c r="I164" s="687"/>
      <c r="J164" s="694"/>
      <c r="K164" s="694"/>
      <c r="L164" s="694"/>
      <c r="M164" s="694"/>
      <c r="N164" s="694"/>
      <c r="O164" s="259"/>
      <c r="AG164" s="517"/>
      <c r="AH164" s="518"/>
      <c r="AI164" s="513" t="s">
        <v>220</v>
      </c>
      <c r="AJ164" s="526" t="s">
        <v>96</v>
      </c>
      <c r="AK164" s="512" t="s">
        <v>199</v>
      </c>
      <c r="AL164" s="513">
        <v>80</v>
      </c>
      <c r="AM164" s="513">
        <v>64.551288629155266</v>
      </c>
      <c r="AN164" s="514">
        <v>520</v>
      </c>
      <c r="AP164" s="517"/>
      <c r="AQ164" s="518"/>
      <c r="AR164" s="513"/>
      <c r="AS164" s="526"/>
      <c r="AT164" s="512"/>
      <c r="AU164" s="513"/>
      <c r="AV164" s="513"/>
      <c r="AW164" s="514"/>
    </row>
    <row r="165" spans="1:49" hidden="1" x14ac:dyDescent="0.3">
      <c r="A165" s="6">
        <v>0.373</v>
      </c>
      <c r="B165" s="589" t="s">
        <v>428</v>
      </c>
      <c r="C165" s="590">
        <v>0.56000000000000005</v>
      </c>
      <c r="D165" s="590">
        <v>2.8</v>
      </c>
      <c r="E165" s="591">
        <v>280</v>
      </c>
      <c r="G165" s="486"/>
      <c r="H165" s="694"/>
      <c r="I165" s="687"/>
      <c r="J165" s="694"/>
      <c r="K165" s="694"/>
      <c r="L165" s="694"/>
      <c r="M165" s="694"/>
      <c r="N165" s="694"/>
      <c r="O165" s="259"/>
      <c r="AG165" s="517"/>
      <c r="AH165" s="518"/>
      <c r="AI165" s="513" t="s">
        <v>221</v>
      </c>
      <c r="AJ165" s="526" t="s">
        <v>95</v>
      </c>
      <c r="AK165" s="512" t="s">
        <v>138</v>
      </c>
      <c r="AL165" s="513">
        <v>100</v>
      </c>
      <c r="AM165" s="513">
        <v>55.517081202120053</v>
      </c>
      <c r="AN165" s="514">
        <v>650</v>
      </c>
      <c r="AP165" s="517"/>
      <c r="AQ165" s="518"/>
      <c r="AR165" s="513"/>
      <c r="AS165" s="526"/>
      <c r="AT165" s="512"/>
      <c r="AU165" s="513"/>
      <c r="AV165" s="513"/>
      <c r="AW165" s="514"/>
    </row>
    <row r="166" spans="1:49" ht="12.9" hidden="1" thickBot="1" x14ac:dyDescent="0.35">
      <c r="A166" s="6">
        <v>0.19</v>
      </c>
      <c r="B166" s="592" t="s">
        <v>441</v>
      </c>
      <c r="C166" s="593">
        <v>0.28000000000000003</v>
      </c>
      <c r="D166" s="593">
        <v>2.8</v>
      </c>
      <c r="E166" s="594">
        <v>280</v>
      </c>
      <c r="F166" s="259"/>
      <c r="G166" s="502"/>
      <c r="H166" s="347"/>
      <c r="I166" s="347"/>
      <c r="J166" s="694"/>
      <c r="K166" s="694"/>
      <c r="L166" s="694"/>
      <c r="M166" s="694"/>
      <c r="N166" s="694"/>
      <c r="O166" s="259"/>
      <c r="AG166" s="695"/>
      <c r="AH166" s="690"/>
      <c r="AI166" s="513" t="s">
        <v>222</v>
      </c>
      <c r="AJ166" s="526" t="s">
        <v>96</v>
      </c>
      <c r="AK166" s="512" t="s">
        <v>138</v>
      </c>
      <c r="AL166" s="513">
        <v>100</v>
      </c>
      <c r="AM166" s="513">
        <v>55.517081202120053</v>
      </c>
      <c r="AN166" s="514">
        <v>650</v>
      </c>
      <c r="AP166" s="695"/>
      <c r="AQ166" s="690"/>
      <c r="AR166" s="513"/>
      <c r="AS166" s="526"/>
      <c r="AT166" s="512"/>
      <c r="AU166" s="513"/>
      <c r="AV166" s="513"/>
      <c r="AW166" s="514"/>
    </row>
    <row r="167" spans="1:49" hidden="1" x14ac:dyDescent="0.3">
      <c r="A167" s="6">
        <v>0.84</v>
      </c>
      <c r="B167" s="567" t="s">
        <v>429</v>
      </c>
      <c r="C167" s="568">
        <v>1.26</v>
      </c>
      <c r="D167" s="568">
        <v>6.3</v>
      </c>
      <c r="E167" s="569">
        <v>630</v>
      </c>
      <c r="F167" s="259"/>
      <c r="G167" s="502"/>
      <c r="H167" s="347"/>
      <c r="I167" s="347"/>
      <c r="J167" s="694"/>
      <c r="K167" s="694"/>
      <c r="L167" s="694"/>
      <c r="M167" s="694"/>
      <c r="N167" s="694"/>
      <c r="O167" s="259"/>
      <c r="AG167" s="695"/>
      <c r="AH167" s="690"/>
      <c r="AI167" s="513" t="s">
        <v>223</v>
      </c>
      <c r="AJ167" s="526" t="s">
        <v>96</v>
      </c>
      <c r="AK167" s="512" t="s">
        <v>120</v>
      </c>
      <c r="AL167" s="513">
        <v>150</v>
      </c>
      <c r="AM167" s="513">
        <v>20.249343310795634</v>
      </c>
      <c r="AN167" s="514">
        <v>928</v>
      </c>
      <c r="AP167" s="695"/>
      <c r="AQ167" s="690"/>
      <c r="AR167" s="513"/>
      <c r="AS167" s="526"/>
      <c r="AT167" s="512"/>
      <c r="AU167" s="513"/>
      <c r="AV167" s="513"/>
      <c r="AW167" s="514"/>
    </row>
    <row r="168" spans="1:49" ht="12.9" hidden="1" thickBot="1" x14ac:dyDescent="0.35">
      <c r="A168" s="6">
        <v>0.42</v>
      </c>
      <c r="B168" s="570" t="s">
        <v>442</v>
      </c>
      <c r="C168" s="571">
        <v>0.63</v>
      </c>
      <c r="D168" s="571">
        <v>6.3</v>
      </c>
      <c r="E168" s="572">
        <v>630</v>
      </c>
      <c r="F168" s="259"/>
      <c r="G168" s="486"/>
      <c r="H168" s="694"/>
      <c r="I168" s="347"/>
      <c r="J168" s="694"/>
      <c r="K168" s="694"/>
      <c r="L168" s="694"/>
      <c r="M168" s="694"/>
      <c r="N168" s="694"/>
      <c r="O168" s="259"/>
      <c r="AG168" s="544"/>
      <c r="AH168" s="697"/>
      <c r="AI168" s="513" t="s">
        <v>224</v>
      </c>
      <c r="AJ168" s="526" t="s">
        <v>96</v>
      </c>
      <c r="AK168" s="512" t="s">
        <v>174</v>
      </c>
      <c r="AL168" s="513">
        <v>200</v>
      </c>
      <c r="AM168" s="513">
        <v>0</v>
      </c>
      <c r="AN168" s="514">
        <v>358</v>
      </c>
      <c r="AP168" s="517"/>
      <c r="AQ168" s="690"/>
      <c r="AR168" s="513"/>
      <c r="AS168" s="526"/>
      <c r="AT168" s="512"/>
      <c r="AU168" s="513"/>
      <c r="AV168" s="513"/>
      <c r="AW168" s="514"/>
    </row>
    <row r="169" spans="1:49" hidden="1" x14ac:dyDescent="0.3">
      <c r="A169" s="6">
        <v>1.5049999999999999</v>
      </c>
      <c r="B169" s="662" t="s">
        <v>430</v>
      </c>
      <c r="C169" s="663">
        <v>2.2999999999999998</v>
      </c>
      <c r="D169" s="663">
        <v>11.3</v>
      </c>
      <c r="E169" s="664">
        <v>1130</v>
      </c>
      <c r="F169" s="259"/>
      <c r="G169" s="502"/>
      <c r="H169" s="694"/>
      <c r="I169" s="687"/>
      <c r="J169" s="694"/>
      <c r="K169" s="694"/>
      <c r="L169" s="694"/>
      <c r="M169" s="694"/>
      <c r="N169" s="694"/>
      <c r="O169" s="259"/>
      <c r="AG169" s="529">
        <v>250</v>
      </c>
      <c r="AH169" s="530">
        <v>4</v>
      </c>
      <c r="AI169" s="658" t="s">
        <v>221</v>
      </c>
      <c r="AJ169" s="698" t="s">
        <v>95</v>
      </c>
      <c r="AK169" s="699" t="s">
        <v>139</v>
      </c>
      <c r="AL169" s="658">
        <v>100</v>
      </c>
      <c r="AM169" s="658">
        <v>56.357180219918348</v>
      </c>
      <c r="AN169" s="700">
        <v>650</v>
      </c>
      <c r="AP169" s="517"/>
      <c r="AQ169" s="518"/>
      <c r="AR169" s="658"/>
      <c r="AS169" s="698"/>
      <c r="AT169" s="699"/>
      <c r="AU169" s="658"/>
      <c r="AV169" s="658"/>
      <c r="AW169" s="700"/>
    </row>
    <row r="170" spans="1:49" ht="12.9" hidden="1" thickBot="1" x14ac:dyDescent="0.35">
      <c r="A170" s="6">
        <v>0.75</v>
      </c>
      <c r="B170" s="665" t="s">
        <v>443</v>
      </c>
      <c r="C170" s="666">
        <v>1.1299999999999999</v>
      </c>
      <c r="D170" s="666">
        <v>11.3</v>
      </c>
      <c r="E170" s="667">
        <v>1130</v>
      </c>
      <c r="F170" s="259"/>
      <c r="G170" s="486"/>
      <c r="H170" s="694"/>
      <c r="I170" s="347"/>
      <c r="J170" s="694"/>
      <c r="K170" s="694"/>
      <c r="L170" s="694"/>
      <c r="M170" s="694"/>
      <c r="N170" s="694"/>
      <c r="O170" s="259"/>
      <c r="AG170" s="517"/>
      <c r="AH170" s="690"/>
      <c r="AI170" s="658" t="s">
        <v>222</v>
      </c>
      <c r="AJ170" s="698" t="s">
        <v>96</v>
      </c>
      <c r="AK170" s="699" t="s">
        <v>139</v>
      </c>
      <c r="AL170" s="658">
        <v>100</v>
      </c>
      <c r="AM170" s="658">
        <v>56.357180219918348</v>
      </c>
      <c r="AN170" s="700">
        <v>650</v>
      </c>
      <c r="AP170" s="517"/>
      <c r="AQ170" s="690"/>
      <c r="AR170" s="658"/>
      <c r="AS170" s="698"/>
      <c r="AT170" s="699"/>
      <c r="AU170" s="658"/>
      <c r="AV170" s="658"/>
      <c r="AW170" s="700"/>
    </row>
    <row r="171" spans="1:49" ht="12.9" hidden="1" thickBot="1" x14ac:dyDescent="0.35">
      <c r="A171" s="6">
        <v>2.27</v>
      </c>
      <c r="B171" s="668" t="s">
        <v>431</v>
      </c>
      <c r="C171" s="671">
        <v>3.4</v>
      </c>
      <c r="D171" s="671">
        <v>17</v>
      </c>
      <c r="E171" s="672">
        <v>1700</v>
      </c>
      <c r="F171" s="259"/>
      <c r="G171" s="486"/>
      <c r="H171" s="694"/>
      <c r="I171" s="347"/>
      <c r="J171" s="694"/>
      <c r="K171" s="694"/>
      <c r="L171" s="694"/>
      <c r="M171" s="694"/>
      <c r="N171" s="694"/>
      <c r="O171" s="259"/>
      <c r="AG171" s="517"/>
      <c r="AH171" s="690"/>
      <c r="AI171" s="658" t="s">
        <v>223</v>
      </c>
      <c r="AJ171" s="698" t="s">
        <v>96</v>
      </c>
      <c r="AK171" s="699" t="s">
        <v>121</v>
      </c>
      <c r="AL171" s="658">
        <v>150</v>
      </c>
      <c r="AM171" s="658">
        <v>31.048221993508513</v>
      </c>
      <c r="AN171" s="700">
        <v>928</v>
      </c>
      <c r="AP171" s="517"/>
      <c r="AQ171" s="690"/>
      <c r="AR171" s="658"/>
      <c r="AS171" s="698"/>
      <c r="AT171" s="699"/>
      <c r="AU171" s="658"/>
      <c r="AV171" s="658"/>
      <c r="AW171" s="700"/>
    </row>
    <row r="172" spans="1:49" ht="12.9" hidden="1" thickBot="1" x14ac:dyDescent="0.35">
      <c r="A172" s="6">
        <v>1.1299999999999999</v>
      </c>
      <c r="B172" s="668" t="s">
        <v>444</v>
      </c>
      <c r="C172" s="673">
        <v>1.7</v>
      </c>
      <c r="D172" s="673">
        <v>17</v>
      </c>
      <c r="E172" s="674">
        <v>1700</v>
      </c>
      <c r="F172" s="8"/>
      <c r="G172" s="502"/>
      <c r="H172" s="694"/>
      <c r="I172" s="347"/>
      <c r="J172" s="694"/>
      <c r="K172" s="694"/>
      <c r="L172" s="694"/>
      <c r="M172" s="694"/>
      <c r="N172" s="694"/>
      <c r="O172" s="259"/>
      <c r="AG172" s="517"/>
      <c r="AH172" s="690"/>
      <c r="AI172" s="658" t="s">
        <v>224</v>
      </c>
      <c r="AJ172" s="698" t="s">
        <v>96</v>
      </c>
      <c r="AK172" s="699" t="s">
        <v>175</v>
      </c>
      <c r="AL172" s="658">
        <v>200</v>
      </c>
      <c r="AM172" s="658">
        <v>15.814325405916916</v>
      </c>
      <c r="AN172" s="700">
        <v>1158</v>
      </c>
      <c r="AP172" s="517"/>
      <c r="AQ172" s="690"/>
      <c r="AR172" s="658"/>
      <c r="AS172" s="698"/>
      <c r="AT172" s="699"/>
      <c r="AU172" s="658"/>
      <c r="AV172" s="658"/>
      <c r="AW172" s="700"/>
    </row>
    <row r="173" spans="1:49" ht="12.9" hidden="1" thickBot="1" x14ac:dyDescent="0.35">
      <c r="A173" s="6">
        <v>4.13</v>
      </c>
      <c r="B173" s="668" t="s">
        <v>432</v>
      </c>
      <c r="C173" s="677">
        <v>6.2</v>
      </c>
      <c r="D173" s="677">
        <v>31</v>
      </c>
      <c r="E173" s="678">
        <v>3100</v>
      </c>
      <c r="F173" s="8"/>
      <c r="G173" s="486"/>
      <c r="H173" s="694"/>
      <c r="I173" s="687"/>
      <c r="J173" s="694"/>
      <c r="K173" s="694"/>
      <c r="L173" s="694"/>
      <c r="M173" s="694"/>
      <c r="N173" s="694"/>
      <c r="O173" s="259"/>
      <c r="AG173" s="529">
        <v>300</v>
      </c>
      <c r="AH173" s="530">
        <v>2</v>
      </c>
      <c r="AI173" s="513" t="s">
        <v>223</v>
      </c>
      <c r="AJ173" s="526" t="s">
        <v>96</v>
      </c>
      <c r="AK173" s="512" t="s">
        <v>122</v>
      </c>
      <c r="AL173" s="513">
        <v>150</v>
      </c>
      <c r="AM173" s="513">
        <v>56.357180219918348</v>
      </c>
      <c r="AN173" s="514">
        <v>920</v>
      </c>
      <c r="AP173" s="517"/>
      <c r="AQ173" s="518"/>
      <c r="AR173" s="513"/>
      <c r="AS173" s="526"/>
      <c r="AT173" s="512"/>
      <c r="AU173" s="513"/>
      <c r="AV173" s="513"/>
      <c r="AW173" s="514"/>
    </row>
    <row r="174" spans="1:49" ht="12.9" hidden="1" thickBot="1" x14ac:dyDescent="0.35">
      <c r="A174" s="6">
        <v>2.0699999999999998</v>
      </c>
      <c r="B174" s="668" t="s">
        <v>445</v>
      </c>
      <c r="C174" s="680">
        <v>3.1</v>
      </c>
      <c r="D174" s="680">
        <v>31</v>
      </c>
      <c r="E174" s="681">
        <v>3100</v>
      </c>
      <c r="F174" s="8"/>
      <c r="G174" s="486"/>
      <c r="H174" s="694"/>
      <c r="I174" s="687"/>
      <c r="J174" s="694"/>
      <c r="K174" s="694"/>
      <c r="L174" s="694"/>
      <c r="M174" s="694"/>
      <c r="N174" s="694"/>
      <c r="O174" s="259"/>
      <c r="AG174" s="544"/>
      <c r="AH174" s="545"/>
      <c r="AI174" s="658" t="s">
        <v>224</v>
      </c>
      <c r="AJ174" s="698" t="s">
        <v>96</v>
      </c>
      <c r="AK174" s="699" t="s">
        <v>176</v>
      </c>
      <c r="AL174" s="658">
        <v>200</v>
      </c>
      <c r="AM174" s="658">
        <v>31.048221993508513</v>
      </c>
      <c r="AN174" s="700">
        <v>1158</v>
      </c>
      <c r="AP174" s="517"/>
      <c r="AQ174" s="518"/>
      <c r="AR174" s="658"/>
      <c r="AS174" s="698"/>
      <c r="AT174" s="699"/>
      <c r="AU174" s="658"/>
      <c r="AV174" s="658"/>
      <c r="AW174" s="700"/>
    </row>
    <row r="175" spans="1:49" hidden="1" x14ac:dyDescent="0.3">
      <c r="B175" s="259"/>
      <c r="C175" s="696"/>
      <c r="F175" s="8"/>
      <c r="G175" s="486"/>
      <c r="H175" s="694"/>
      <c r="I175" s="687"/>
      <c r="J175" s="694"/>
      <c r="K175" s="694"/>
      <c r="L175" s="694"/>
      <c r="M175" s="694"/>
      <c r="N175" s="694"/>
      <c r="O175" s="259"/>
      <c r="AG175" s="517">
        <v>350</v>
      </c>
      <c r="AH175" s="518">
        <v>2</v>
      </c>
      <c r="AI175" s="658" t="s">
        <v>223</v>
      </c>
      <c r="AJ175" s="698" t="s">
        <v>96</v>
      </c>
      <c r="AK175" s="699" t="s">
        <v>123</v>
      </c>
      <c r="AL175" s="658">
        <v>150</v>
      </c>
      <c r="AM175" s="658">
        <v>48.887909560833073</v>
      </c>
      <c r="AN175" s="700">
        <v>928</v>
      </c>
      <c r="AP175" s="517"/>
      <c r="AQ175" s="518"/>
      <c r="AR175" s="658"/>
      <c r="AS175" s="698"/>
      <c r="AT175" s="699"/>
      <c r="AU175" s="658"/>
      <c r="AV175" s="658"/>
      <c r="AW175" s="700"/>
    </row>
    <row r="176" spans="1:49" hidden="1" x14ac:dyDescent="0.3">
      <c r="F176" s="8"/>
      <c r="G176" s="486"/>
      <c r="H176" s="694"/>
      <c r="I176" s="687"/>
      <c r="J176" s="694"/>
      <c r="K176" s="694"/>
      <c r="L176" s="694"/>
      <c r="M176" s="694"/>
      <c r="N176" s="694"/>
      <c r="O176" s="259"/>
      <c r="AG176" s="517"/>
      <c r="AH176" s="518"/>
      <c r="AI176" s="658" t="s">
        <v>224</v>
      </c>
      <c r="AJ176" s="698" t="s">
        <v>96</v>
      </c>
      <c r="AK176" s="699" t="s">
        <v>177</v>
      </c>
      <c r="AL176" s="658">
        <v>200</v>
      </c>
      <c r="AM176" s="658">
        <v>37.649420036480137</v>
      </c>
      <c r="AN176" s="700">
        <v>1158</v>
      </c>
      <c r="AP176" s="517"/>
      <c r="AQ176" s="518"/>
      <c r="AR176" s="658"/>
      <c r="AS176" s="698"/>
      <c r="AT176" s="699"/>
      <c r="AU176" s="658"/>
      <c r="AV176" s="658"/>
      <c r="AW176" s="700"/>
    </row>
    <row r="177" spans="2:49" ht="12.9" hidden="1" thickBot="1" x14ac:dyDescent="0.35">
      <c r="F177" s="8"/>
      <c r="G177" s="502"/>
      <c r="H177" s="694"/>
      <c r="I177" s="687"/>
      <c r="J177" s="694"/>
      <c r="K177" s="694"/>
      <c r="L177" s="694"/>
      <c r="M177" s="694"/>
      <c r="N177" s="694"/>
      <c r="O177" s="259"/>
      <c r="AG177" s="701">
        <v>400</v>
      </c>
      <c r="AH177" s="702">
        <v>1</v>
      </c>
      <c r="AI177" s="703" t="s">
        <v>224</v>
      </c>
      <c r="AJ177" s="704" t="s">
        <v>96</v>
      </c>
      <c r="AK177" s="705" t="s">
        <v>178</v>
      </c>
      <c r="AL177" s="706">
        <v>200</v>
      </c>
      <c r="AM177" s="706">
        <v>48.887909560833073</v>
      </c>
      <c r="AN177" s="707">
        <v>1158</v>
      </c>
      <c r="AP177" s="517"/>
      <c r="AQ177" s="708"/>
      <c r="AR177" s="703"/>
      <c r="AS177" s="704"/>
      <c r="AT177" s="705"/>
      <c r="AU177" s="706"/>
      <c r="AV177" s="706"/>
      <c r="AW177" s="707"/>
    </row>
    <row r="178" spans="2:49" hidden="1" x14ac:dyDescent="0.3">
      <c r="F178" s="8"/>
      <c r="G178" s="8"/>
      <c r="H178" s="694"/>
      <c r="I178" s="687"/>
      <c r="J178" s="694"/>
      <c r="K178" s="694"/>
      <c r="L178" s="694"/>
      <c r="M178" s="694"/>
      <c r="N178" s="694"/>
      <c r="O178" s="259"/>
      <c r="AG178" s="529">
        <v>250</v>
      </c>
      <c r="AH178" s="530">
        <v>4</v>
      </c>
      <c r="AI178" s="658" t="s">
        <v>221</v>
      </c>
      <c r="AJ178" s="698" t="s">
        <v>95</v>
      </c>
      <c r="AK178" s="699" t="s">
        <v>139</v>
      </c>
      <c r="AL178" s="658">
        <v>100</v>
      </c>
      <c r="AM178" s="658">
        <v>56.357180219918348</v>
      </c>
      <c r="AN178" s="700">
        <v>650</v>
      </c>
      <c r="AP178" s="517"/>
      <c r="AQ178" s="518"/>
      <c r="AR178" s="658"/>
      <c r="AS178" s="698"/>
      <c r="AT178" s="699"/>
      <c r="AU178" s="658"/>
      <c r="AV178" s="658"/>
      <c r="AW178" s="700"/>
    </row>
    <row r="179" spans="2:49" hidden="1" x14ac:dyDescent="0.3">
      <c r="F179" s="8"/>
      <c r="G179" s="8"/>
      <c r="H179" s="694"/>
      <c r="I179" s="347"/>
      <c r="J179" s="694"/>
      <c r="K179" s="694"/>
      <c r="L179" s="694"/>
      <c r="M179" s="694"/>
      <c r="N179" s="694"/>
      <c r="O179" s="259"/>
      <c r="AG179" s="517"/>
      <c r="AH179" s="690"/>
      <c r="AI179" s="658" t="s">
        <v>222</v>
      </c>
      <c r="AJ179" s="698" t="s">
        <v>96</v>
      </c>
      <c r="AK179" s="699" t="s">
        <v>139</v>
      </c>
      <c r="AL179" s="658">
        <v>100</v>
      </c>
      <c r="AM179" s="658">
        <v>56.357180219918348</v>
      </c>
      <c r="AN179" s="700">
        <v>650</v>
      </c>
      <c r="AP179" s="517"/>
      <c r="AQ179" s="690"/>
      <c r="AR179" s="658"/>
      <c r="AS179" s="698"/>
      <c r="AT179" s="699"/>
      <c r="AU179" s="658"/>
      <c r="AV179" s="658"/>
      <c r="AW179" s="700"/>
    </row>
    <row r="180" spans="2:49" hidden="1" x14ac:dyDescent="0.3">
      <c r="F180" s="8"/>
      <c r="G180" s="8"/>
      <c r="H180" s="694"/>
      <c r="I180" s="347"/>
      <c r="J180" s="694"/>
      <c r="K180" s="694"/>
      <c r="L180" s="694"/>
      <c r="M180" s="694"/>
      <c r="N180" s="694"/>
      <c r="O180" s="259"/>
      <c r="AG180" s="517"/>
      <c r="AH180" s="690"/>
      <c r="AI180" s="658" t="s">
        <v>223</v>
      </c>
      <c r="AJ180" s="698" t="s">
        <v>96</v>
      </c>
      <c r="AK180" s="699" t="s">
        <v>121</v>
      </c>
      <c r="AL180" s="658">
        <v>150</v>
      </c>
      <c r="AM180" s="658">
        <v>31.048221993508513</v>
      </c>
      <c r="AN180" s="700">
        <v>928</v>
      </c>
      <c r="AP180" s="517"/>
      <c r="AQ180" s="690"/>
      <c r="AR180" s="658"/>
      <c r="AS180" s="698"/>
      <c r="AT180" s="699"/>
      <c r="AU180" s="658"/>
      <c r="AV180" s="658"/>
      <c r="AW180" s="700"/>
    </row>
    <row r="181" spans="2:49" hidden="1" x14ac:dyDescent="0.3">
      <c r="G181" s="8"/>
      <c r="H181" s="694"/>
      <c r="I181" s="347"/>
      <c r="J181" s="694"/>
      <c r="K181" s="694"/>
      <c r="L181" s="694"/>
      <c r="M181" s="694"/>
      <c r="N181" s="694"/>
      <c r="O181" s="259"/>
      <c r="AG181" s="517"/>
      <c r="AH181" s="690"/>
      <c r="AI181" s="658" t="s">
        <v>224</v>
      </c>
      <c r="AJ181" s="698" t="s">
        <v>96</v>
      </c>
      <c r="AK181" s="699" t="s">
        <v>175</v>
      </c>
      <c r="AL181" s="658">
        <v>200</v>
      </c>
      <c r="AM181" s="658">
        <v>15.814325405916916</v>
      </c>
      <c r="AN181" s="700">
        <v>1158</v>
      </c>
      <c r="AP181" s="517"/>
      <c r="AQ181" s="690"/>
      <c r="AR181" s="658"/>
      <c r="AS181" s="698"/>
      <c r="AT181" s="699"/>
      <c r="AU181" s="658"/>
      <c r="AV181" s="658"/>
      <c r="AW181" s="700"/>
    </row>
    <row r="182" spans="2:49" hidden="1" x14ac:dyDescent="0.3">
      <c r="G182" s="8"/>
      <c r="H182" s="694"/>
      <c r="I182" s="687"/>
      <c r="J182" s="694"/>
      <c r="K182" s="694"/>
      <c r="L182" s="694"/>
      <c r="M182" s="694"/>
      <c r="N182" s="694"/>
      <c r="O182" s="259"/>
      <c r="AG182" s="529">
        <v>300</v>
      </c>
      <c r="AH182" s="530">
        <v>2</v>
      </c>
      <c r="AI182" s="513" t="s">
        <v>223</v>
      </c>
      <c r="AJ182" s="526" t="s">
        <v>96</v>
      </c>
      <c r="AK182" s="512" t="s">
        <v>122</v>
      </c>
      <c r="AL182" s="513">
        <v>150</v>
      </c>
      <c r="AM182" s="513">
        <v>56.357180219918348</v>
      </c>
      <c r="AN182" s="514">
        <v>920</v>
      </c>
      <c r="AP182" s="517"/>
      <c r="AQ182" s="518"/>
      <c r="AR182" s="513"/>
      <c r="AS182" s="526"/>
      <c r="AT182" s="512"/>
      <c r="AU182" s="513"/>
      <c r="AV182" s="513"/>
      <c r="AW182" s="514"/>
    </row>
    <row r="183" spans="2:49" hidden="1" x14ac:dyDescent="0.3">
      <c r="G183" s="8"/>
      <c r="H183" s="694"/>
      <c r="I183" s="687"/>
      <c r="J183" s="694"/>
      <c r="K183" s="694"/>
      <c r="L183" s="694"/>
      <c r="M183" s="694"/>
      <c r="N183" s="694"/>
      <c r="O183" s="259"/>
      <c r="AG183" s="544"/>
      <c r="AH183" s="545"/>
      <c r="AI183" s="658" t="s">
        <v>224</v>
      </c>
      <c r="AJ183" s="698" t="s">
        <v>96</v>
      </c>
      <c r="AK183" s="699" t="s">
        <v>176</v>
      </c>
      <c r="AL183" s="658">
        <v>200</v>
      </c>
      <c r="AM183" s="658">
        <v>31.048221993508513</v>
      </c>
      <c r="AN183" s="700">
        <v>1158</v>
      </c>
      <c r="AP183" s="517"/>
      <c r="AQ183" s="518"/>
      <c r="AR183" s="658"/>
      <c r="AS183" s="698"/>
      <c r="AT183" s="699"/>
      <c r="AU183" s="658"/>
      <c r="AV183" s="658"/>
      <c r="AW183" s="700"/>
    </row>
    <row r="184" spans="2:49" hidden="1" x14ac:dyDescent="0.3">
      <c r="B184" s="259"/>
      <c r="C184" s="259"/>
      <c r="D184" s="709"/>
      <c r="E184" s="259"/>
      <c r="H184" s="694"/>
      <c r="I184" s="687"/>
      <c r="J184" s="694"/>
      <c r="K184" s="694"/>
      <c r="L184" s="694"/>
      <c r="M184" s="694"/>
      <c r="N184" s="694"/>
      <c r="O184" s="259"/>
      <c r="AG184" s="517">
        <v>350</v>
      </c>
      <c r="AH184" s="518">
        <v>2</v>
      </c>
      <c r="AI184" s="658" t="s">
        <v>223</v>
      </c>
      <c r="AJ184" s="698" t="s">
        <v>96</v>
      </c>
      <c r="AK184" s="699" t="s">
        <v>123</v>
      </c>
      <c r="AL184" s="658">
        <v>150</v>
      </c>
      <c r="AM184" s="658">
        <v>48.887909560833073</v>
      </c>
      <c r="AN184" s="700">
        <v>928</v>
      </c>
      <c r="AP184" s="517"/>
      <c r="AQ184" s="518"/>
      <c r="AR184" s="658"/>
      <c r="AS184" s="698"/>
      <c r="AT184" s="699"/>
      <c r="AU184" s="658"/>
      <c r="AV184" s="658"/>
      <c r="AW184" s="700"/>
    </row>
    <row r="185" spans="2:49" hidden="1" x14ac:dyDescent="0.3">
      <c r="B185" s="259"/>
      <c r="C185" s="259"/>
      <c r="D185" s="709"/>
      <c r="E185" s="259"/>
      <c r="H185" s="694"/>
      <c r="I185" s="687"/>
      <c r="J185" s="694"/>
      <c r="K185" s="694"/>
      <c r="L185" s="694"/>
      <c r="M185" s="694"/>
      <c r="N185" s="694"/>
      <c r="O185" s="259"/>
      <c r="AG185" s="517"/>
      <c r="AH185" s="518"/>
      <c r="AI185" s="658" t="s">
        <v>224</v>
      </c>
      <c r="AJ185" s="698" t="s">
        <v>96</v>
      </c>
      <c r="AK185" s="699" t="s">
        <v>177</v>
      </c>
      <c r="AL185" s="658">
        <v>200</v>
      </c>
      <c r="AM185" s="658">
        <v>37.649420036480137</v>
      </c>
      <c r="AN185" s="700">
        <v>1158</v>
      </c>
      <c r="AP185" s="517"/>
      <c r="AQ185" s="518"/>
      <c r="AR185" s="658"/>
      <c r="AS185" s="698"/>
      <c r="AT185" s="699"/>
      <c r="AU185" s="658"/>
      <c r="AV185" s="658"/>
      <c r="AW185" s="700"/>
    </row>
    <row r="186" spans="2:49" ht="12.9" hidden="1" thickBot="1" x14ac:dyDescent="0.35">
      <c r="B186" s="259"/>
      <c r="C186" s="259"/>
      <c r="D186" s="709"/>
      <c r="E186" s="259"/>
      <c r="H186" s="694"/>
      <c r="I186" s="687"/>
      <c r="J186" s="694"/>
      <c r="K186" s="694"/>
      <c r="L186" s="694"/>
      <c r="M186" s="694"/>
      <c r="N186" s="694"/>
      <c r="O186" s="259"/>
      <c r="AG186" s="701">
        <v>400</v>
      </c>
      <c r="AH186" s="702">
        <v>1</v>
      </c>
      <c r="AI186" s="703" t="s">
        <v>224</v>
      </c>
      <c r="AJ186" s="704" t="s">
        <v>96</v>
      </c>
      <c r="AK186" s="705" t="s">
        <v>178</v>
      </c>
      <c r="AL186" s="706">
        <v>200</v>
      </c>
      <c r="AM186" s="706">
        <v>48.887909560833073</v>
      </c>
      <c r="AN186" s="707">
        <v>1158</v>
      </c>
      <c r="AP186" s="689"/>
      <c r="AQ186" s="710"/>
      <c r="AR186" s="703"/>
      <c r="AS186" s="704"/>
      <c r="AT186" s="705"/>
      <c r="AU186" s="706"/>
      <c r="AV186" s="706"/>
      <c r="AW186" s="707"/>
    </row>
    <row r="187" spans="2:49" hidden="1" x14ac:dyDescent="0.3">
      <c r="B187" s="259"/>
      <c r="C187" s="259"/>
      <c r="D187" s="709"/>
      <c r="E187" s="259"/>
      <c r="H187" s="347"/>
      <c r="I187" s="347"/>
      <c r="J187" s="347"/>
      <c r="K187" s="347"/>
      <c r="L187" s="347"/>
      <c r="M187" s="347"/>
      <c r="N187" s="347"/>
      <c r="O187" s="347"/>
    </row>
    <row r="188" spans="2:49" hidden="1" x14ac:dyDescent="0.3">
      <c r="B188" s="259"/>
      <c r="C188" s="259"/>
      <c r="D188" s="709"/>
      <c r="E188" s="259"/>
    </row>
    <row r="189" spans="2:49" hidden="1" x14ac:dyDescent="0.3">
      <c r="B189" s="259"/>
      <c r="C189" s="259"/>
      <c r="D189" s="709"/>
      <c r="E189" s="259"/>
    </row>
    <row r="190" spans="2:49" hidden="1" x14ac:dyDescent="0.3">
      <c r="B190" s="8"/>
      <c r="C190" s="8"/>
      <c r="D190" s="8"/>
      <c r="E190" s="8"/>
    </row>
    <row r="191" spans="2:49" hidden="1" x14ac:dyDescent="0.3">
      <c r="B191" s="8"/>
      <c r="C191" s="8"/>
      <c r="D191" s="8"/>
      <c r="E191" s="8"/>
    </row>
    <row r="192" spans="2:49" hidden="1" x14ac:dyDescent="0.3">
      <c r="B192" s="8"/>
      <c r="C192" s="8"/>
      <c r="D192" s="8"/>
      <c r="E192" s="8"/>
    </row>
    <row r="193" spans="2:18" hidden="1" x14ac:dyDescent="0.3">
      <c r="B193" s="8"/>
      <c r="C193" s="8"/>
      <c r="D193" s="8"/>
      <c r="E193" s="8"/>
    </row>
    <row r="194" spans="2:18" hidden="1" x14ac:dyDescent="0.3">
      <c r="B194" s="8"/>
      <c r="C194" s="8"/>
      <c r="D194" s="8"/>
      <c r="E194" s="8"/>
    </row>
    <row r="195" spans="2:18" hidden="1" x14ac:dyDescent="0.3">
      <c r="B195" s="8"/>
      <c r="C195" s="8"/>
      <c r="D195" s="8"/>
      <c r="E195" s="8"/>
    </row>
    <row r="196" spans="2:18" hidden="1" x14ac:dyDescent="0.3">
      <c r="B196" s="8"/>
      <c r="C196" s="8"/>
      <c r="D196" s="8"/>
      <c r="E196" s="8"/>
    </row>
    <row r="197" spans="2:18" hidden="1" x14ac:dyDescent="0.3">
      <c r="B197" s="8"/>
      <c r="C197" s="8"/>
      <c r="D197" s="8"/>
      <c r="E197" s="8"/>
    </row>
    <row r="198" spans="2:18" hidden="1" x14ac:dyDescent="0.3">
      <c r="B198" s="8"/>
      <c r="C198" s="8"/>
      <c r="D198" s="8"/>
      <c r="E198" s="8"/>
      <c r="J198" s="8"/>
    </row>
    <row r="199" spans="2:18" hidden="1" x14ac:dyDescent="0.3">
      <c r="J199" s="8"/>
    </row>
    <row r="200" spans="2:18" hidden="1" x14ac:dyDescent="0.3">
      <c r="J200" s="8"/>
      <c r="K200" s="711" t="s">
        <v>416</v>
      </c>
      <c r="L200" s="712"/>
      <c r="M200" s="712"/>
      <c r="N200" s="712"/>
      <c r="O200" s="712"/>
      <c r="P200" s="712"/>
      <c r="Q200" s="712"/>
      <c r="R200" s="713"/>
    </row>
    <row r="201" spans="2:18" hidden="1" x14ac:dyDescent="0.3">
      <c r="G201" s="709"/>
      <c r="H201" s="259"/>
    </row>
    <row r="202" spans="2:18" hidden="1" x14ac:dyDescent="0.3">
      <c r="G202" s="709"/>
      <c r="H202" s="259"/>
    </row>
    <row r="203" spans="2:18" hidden="1" x14ac:dyDescent="0.3">
      <c r="G203" s="709"/>
      <c r="H203" s="259"/>
    </row>
    <row r="204" spans="2:18" hidden="1" x14ac:dyDescent="0.3">
      <c r="G204" s="709"/>
      <c r="H204" s="259"/>
    </row>
    <row r="205" spans="2:18" hidden="1" x14ac:dyDescent="0.3">
      <c r="G205" s="709"/>
      <c r="H205" s="259"/>
    </row>
    <row r="206" spans="2:18" hidden="1" x14ac:dyDescent="0.3">
      <c r="G206" s="709"/>
      <c r="H206" s="259"/>
    </row>
    <row r="207" spans="2:18" hidden="1" x14ac:dyDescent="0.3">
      <c r="G207" s="8"/>
      <c r="H207" s="8"/>
    </row>
    <row r="208" spans="2:18" hidden="1" x14ac:dyDescent="0.3">
      <c r="G208" s="8"/>
      <c r="H208" s="8"/>
    </row>
    <row r="209" spans="7:8" hidden="1" x14ac:dyDescent="0.3">
      <c r="G209" s="8"/>
      <c r="H209" s="8"/>
    </row>
  </sheetData>
  <sheetProtection algorithmName="SHA-512" hashValue="vh9V9x76/LnHeSfxLvPD6f6yeoGEujUitPPfTG2xlTvemiQwC2BtuUM8r7LXJUaZsNQcisdwQgJ5ToLQ2lDTSw==" saltValue="WzK4ynMPU6kkScVPvQcOkA==" spinCount="100000" sheet="1" objects="1" scenarios="1"/>
  <customSheetViews>
    <customSheetView guid="{AAE00E0F-58A4-431B-A945-2FAABDFF301E}" scale="70" showGridLines="0" hiddenRows="1" hiddenColumns="1">
      <selection activeCell="AV14" sqref="AV14"/>
      <rowBreaks count="1" manualBreakCount="1">
        <brk id="57" max="16383" man="1"/>
      </rowBreaks>
      <colBreaks count="1" manualBreakCount="1">
        <brk id="5" max="1048575" man="1"/>
      </colBreaks>
      <pageMargins left="0.75" right="0.75" top="1" bottom="1" header="0.5" footer="0.5"/>
      <pageSetup paperSize="9" scale="80" orientation="portrait" r:id="rId1"/>
      <headerFooter alignWithMargins="0"/>
    </customSheetView>
  </customSheetViews>
  <mergeCells count="32">
    <mergeCell ref="Q111:T111"/>
    <mergeCell ref="AG2:AI2"/>
    <mergeCell ref="B2:E2"/>
    <mergeCell ref="B29:C29"/>
    <mergeCell ref="B30:C30"/>
    <mergeCell ref="AG15:AI15"/>
    <mergeCell ref="B41:D41"/>
    <mergeCell ref="C4:E4"/>
    <mergeCell ref="C5:E5"/>
    <mergeCell ref="C6:E6"/>
    <mergeCell ref="D25:E25"/>
    <mergeCell ref="B25:C25"/>
    <mergeCell ref="AG1:AH1"/>
    <mergeCell ref="D29:E29"/>
    <mergeCell ref="B39:C39"/>
    <mergeCell ref="B33:C33"/>
    <mergeCell ref="B37:C37"/>
    <mergeCell ref="B38:C38"/>
    <mergeCell ref="B31:C31"/>
    <mergeCell ref="B32:C32"/>
    <mergeCell ref="B36:C36"/>
    <mergeCell ref="B35:D35"/>
    <mergeCell ref="AQ2:AR2"/>
    <mergeCell ref="AQ15:AR15"/>
    <mergeCell ref="D30:E30"/>
    <mergeCell ref="AK15:AM15"/>
    <mergeCell ref="H86:I86"/>
    <mergeCell ref="AK2:AM2"/>
    <mergeCell ref="D28:E28"/>
    <mergeCell ref="Z2:AA2"/>
    <mergeCell ref="Z15:AA15"/>
    <mergeCell ref="B27:D27"/>
  </mergeCells>
  <phoneticPr fontId="2" type="noConversion"/>
  <conditionalFormatting sqref="R44:R50 U45:U50 U40 X46:X50 X40:X41 AM49:AM50 AM40:AM43 AY33:AZ33 BC33:BG33 Q40:Q50 V40:W50 AP40:AP45 P43:P50 AN40:AO50 O40:O51 AI41:AI49 AJ40:AL50 P51:R51 AQ40:AR50 Y40:AI40 Y50:AI50 U51:AR51">
    <cfRule type="cellIs" dxfId="56" priority="8" stopIfTrue="1" operator="equal">
      <formula>TRUE</formula>
    </cfRule>
  </conditionalFormatting>
  <conditionalFormatting sqref="D50:E50">
    <cfRule type="cellIs" dxfId="55" priority="9" stopIfTrue="1" operator="greaterThan">
      <formula>3</formula>
    </cfRule>
  </conditionalFormatting>
  <conditionalFormatting sqref="AE4:AF13 AE17:AF26">
    <cfRule type="cellIs" dxfId="54" priority="6" stopIfTrue="1" operator="greaterThan">
      <formula>$M$5</formula>
    </cfRule>
  </conditionalFormatting>
  <conditionalFormatting sqref="AK4:AM13 AO4:AP13 AO17:AP26">
    <cfRule type="cellIs" dxfId="53" priority="5" stopIfTrue="1" operator="equal">
      <formula>TRUE</formula>
    </cfRule>
  </conditionalFormatting>
  <conditionalFormatting sqref="AK17:AM26">
    <cfRule type="cellIs" dxfId="52" priority="2" stopIfTrue="1" operator="equal">
      <formula>TRUE</formula>
    </cfRule>
  </conditionalFormatting>
  <dataValidations count="3">
    <dataValidation type="list" allowBlank="1" showInputMessage="1" showErrorMessage="1" sqref="D30" xr:uid="{00000000-0002-0000-0100-000000000000}">
      <formula1>Grafik</formula1>
    </dataValidation>
    <dataValidation type="list" allowBlank="1" showInputMessage="1" showErrorMessage="1" sqref="D32:E32" xr:uid="{00000000-0002-0000-0100-000001000000}">
      <formula1>Control_DU_Tr</formula1>
    </dataValidation>
    <dataValidation type="list" allowBlank="1" showInputMessage="1" showErrorMessage="1" sqref="D25" xr:uid="{A73B0DA1-7C72-4F53-B5EE-3C0BB4934353}">
      <formula1>Метод_подбора</formula1>
    </dataValidation>
  </dataValidations>
  <pageMargins left="0.25" right="0.25" top="0.75" bottom="0.75" header="0.3" footer="0.3"/>
  <pageSetup paperSize="9" scale="71" fitToHeight="0" orientation="portrait" r:id="rId2"/>
  <headerFooter alignWithMargins="0"/>
  <rowBreaks count="1" manualBreakCount="1">
    <brk id="57" max="16383" man="1"/>
  </rowBreaks>
  <colBreaks count="1" manualBreakCount="1">
    <brk id="5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00B0F0"/>
    <pageSetUpPr fitToPage="1"/>
  </sheetPr>
  <dimension ref="B1:BD142"/>
  <sheetViews>
    <sheetView showGridLines="0" showRowColHeaders="0" zoomScale="85" zoomScaleNormal="85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5.69140625" style="6" customWidth="1"/>
    <col min="7" max="7" width="18.69140625" style="6" customWidth="1"/>
    <col min="8" max="8" width="9.15234375" style="6"/>
    <col min="9" max="9" width="9.15234375" style="6" customWidth="1"/>
    <col min="10" max="10" width="14.69140625" style="6" hidden="1" customWidth="1"/>
    <col min="11" max="11" width="9.15234375" style="6" hidden="1" customWidth="1"/>
    <col min="12" max="12" width="18.69140625" style="6" hidden="1" customWidth="1"/>
    <col min="13" max="18" width="12.69140625" style="6" hidden="1" customWidth="1"/>
    <col min="19" max="19" width="14.30468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3.15234375" style="6" hidden="1" customWidth="1"/>
    <col min="45" max="45" width="13.69140625" style="6" hidden="1" customWidth="1"/>
    <col min="46" max="46" width="22.3828125" style="6" hidden="1" customWidth="1"/>
    <col min="47" max="49" width="13.69140625" style="6" hidden="1" customWidth="1"/>
    <col min="50" max="56" width="13.69140625" style="6" customWidth="1"/>
    <col min="57" max="16384" width="9.15234375" style="6"/>
  </cols>
  <sheetData>
    <row r="1" spans="2:54" ht="18" customHeight="1" thickBot="1" x14ac:dyDescent="0.35">
      <c r="C1" s="301"/>
      <c r="D1" s="301"/>
      <c r="E1" s="301"/>
      <c r="F1" s="301"/>
      <c r="G1" s="301"/>
      <c r="I1" s="256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2:54" ht="18" customHeight="1" thickBot="1" x14ac:dyDescent="0.55000000000000004">
      <c r="B2" s="827" t="s">
        <v>393</v>
      </c>
      <c r="C2" s="827"/>
      <c r="D2" s="827"/>
      <c r="E2" s="827"/>
      <c r="F2" s="412"/>
      <c r="G2" s="261"/>
      <c r="N2" s="262"/>
      <c r="O2" s="263" t="s">
        <v>406</v>
      </c>
      <c r="P2" s="264">
        <f>MATCH(M6,DyTr_New,0)</f>
        <v>16</v>
      </c>
      <c r="Q2" s="265">
        <f ca="1">MATCH(TRUE,AO4:AO13,0)</f>
        <v>4</v>
      </c>
      <c r="R2" s="266" t="s">
        <v>103</v>
      </c>
      <c r="S2" s="267"/>
      <c r="U2" s="268">
        <f ca="1">MATCH(TRUE,AO4:AO13,0)</f>
        <v>4</v>
      </c>
      <c r="V2" s="269" t="s">
        <v>407</v>
      </c>
      <c r="W2" s="270"/>
      <c r="X2" s="270"/>
      <c r="Y2" s="270"/>
      <c r="Z2" s="813" t="s">
        <v>206</v>
      </c>
      <c r="AA2" s="813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>
        <f ca="1">MATCH(TRUE,AO4:AO13,0)</f>
        <v>4</v>
      </c>
      <c r="AP2" s="273">
        <f ca="1">MATCH(TRUE,AP4:AP13,0)</f>
        <v>4</v>
      </c>
      <c r="AQ2" s="802" t="s">
        <v>69</v>
      </c>
      <c r="AR2" s="803"/>
      <c r="AS2" s="259"/>
      <c r="AT2" s="259"/>
      <c r="AU2" s="41"/>
      <c r="AV2" s="41"/>
      <c r="AW2" s="41"/>
      <c r="AX2" s="41"/>
      <c r="AY2" s="41"/>
      <c r="AZ2" s="41"/>
      <c r="BA2" s="41"/>
      <c r="BB2" s="41"/>
    </row>
    <row r="3" spans="2:54" ht="18" customHeight="1" x14ac:dyDescent="0.3">
      <c r="B3" s="274"/>
      <c r="C3" s="274"/>
      <c r="D3" s="275"/>
      <c r="E3" s="274"/>
      <c r="F3" s="276"/>
      <c r="G3" s="276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IF(ISERROR(AO2),IF(ISERROR(AP2),"НЕТ",OFFSET(Q4,AP2-1,0,1)&amp;"-"&amp;OFFSET(AN4,AP2-1,0,1)&amp;"-Фланец"),OFFSET(Q4,AO2-1,0,1)&amp;"-"&amp;OFFSET(AN4,AO2-1,0,1)&amp;"-Cэндвич")</f>
        <v>ПРЭМ-32-D-Cэндвич</v>
      </c>
      <c r="AT3" s="284" t="str">
        <f ca="1">IF(ISERROR(AO2),IF(ISERROR(AP2),"НЕТ",OFFSET(Q4,AP2-1,0,1)&amp;"-"&amp;OFFSET(AN4,AP2-1,0,1)),OFFSET(Q4,AO2-1,0,1)&amp;"-"&amp;OFFSET(AN4,AO2-1,0,1))</f>
        <v>ПРЭМ-32-D</v>
      </c>
      <c r="AU3" s="41"/>
      <c r="AV3" s="41"/>
      <c r="AW3" s="41"/>
      <c r="AX3" s="41"/>
      <c r="AY3" s="41"/>
      <c r="AZ3" s="41"/>
      <c r="BA3" s="41"/>
      <c r="BB3" s="41"/>
    </row>
    <row r="4" spans="2:54" ht="18" customHeight="1" x14ac:dyDescent="0.3">
      <c r="B4" s="285" t="s">
        <v>117</v>
      </c>
      <c r="C4" s="788"/>
      <c r="D4" s="789"/>
      <c r="E4" s="790"/>
      <c r="F4" s="413"/>
      <c r="G4" s="413"/>
      <c r="L4" s="287" t="s">
        <v>74</v>
      </c>
      <c r="M4" s="288">
        <v>0.5</v>
      </c>
      <c r="N4" s="88">
        <f ca="1">OFFSET(DyTr_New,P2-1,1,1)</f>
        <v>6</v>
      </c>
      <c r="O4" s="88">
        <v>1</v>
      </c>
      <c r="P4" s="93" t="str">
        <f ca="1">IF(O4&lt;=$N$4,OFFSET(DyTr_New,$P$2-2+O4,4,1),"---")</f>
        <v>15-50</v>
      </c>
      <c r="Q4" s="93" t="str">
        <f t="shared" ref="Q4:Q13" ca="1" si="0">IF(O4&lt;=$N$4,OFFSET(DyTr_New,$P$2-2+O4,2,1),"---")</f>
        <v>ПРЭМ-15</v>
      </c>
      <c r="R4" s="93">
        <f t="shared" ref="R4:R13" ca="1" si="1">IF(O4&lt;=$N$4,OFFSET(DyTr_New,$P$2-2+O4,5,1),"---")</f>
        <v>15</v>
      </c>
      <c r="S4" s="93" t="str">
        <f t="shared" ref="S4:S13" ca="1" si="2">IF(O4&lt;=$N$4,OFFSET(DyTr_New,$P$2-2+O4,6,1),"---")</f>
        <v>30,14</v>
      </c>
      <c r="T4" s="93">
        <f t="shared" ref="T4:T13" ca="1" si="3">IF(O4&lt;=$N$4,($M$7/3.6)/((PI()*R4^2)/4000),"---")</f>
        <v>9.5585202913148386</v>
      </c>
      <c r="U4" s="289">
        <f t="shared" ref="U4:U13" ca="1" si="4">IF(O4&lt;=$N$4,(T4*R4/$M$9/1000),"---")</f>
        <v>888257.71780175052</v>
      </c>
      <c r="V4" s="289">
        <f t="shared" ref="V4:V13" ca="1" si="5">IF(O4&lt;=$N$4,(1/(1.14+2*LOG((R4/$M$4),10))^2),"---")</f>
        <v>5.9655827422120798E-2</v>
      </c>
      <c r="W4" s="93">
        <f t="shared" ref="W4:W13" ca="1" si="6">IF(O4&lt;=$N$4,(IF(S4=0,0,(V4/(8*SIN(RADIANS(S4/2))))*(1-(R4/$M$6)^4))),"---")</f>
        <v>2.8448487298016373E-2</v>
      </c>
      <c r="X4" s="93">
        <f t="shared" ref="X4:X13" ca="1" si="7">IF(O4&lt;=$N$4,(3.2*TAN(RADIANS(S4/2))^1.25*(1-(R4/$M$6)^2)^2),"---")</f>
        <v>0.51397936922726728</v>
      </c>
      <c r="Y4" s="93">
        <f t="shared" ref="Y4:Y13" ca="1" si="8">IF(O4&lt;=$N$4,(IF(S4=0,0,V4/(8*SIN(RADIANS(S4/2)))*(1-(R4/$M$6)^4))),"---")</f>
        <v>2.8448487298016373E-2</v>
      </c>
      <c r="Z4" s="290">
        <f t="shared" ref="Z4:Z13" ca="1" si="9">IF(O4&lt;=$N$4,VLOOKUP(Q4&amp;"-Сэндвич",TypePFlow,3,FALSE),"---")</f>
        <v>0</v>
      </c>
      <c r="AA4" s="290">
        <f t="shared" ref="AA4:AA13" ca="1" si="10">IF(O4&lt;=$N$4,VLOOKUP(Q4&amp;"-Фланец",TypePFlow,3,FALSE),"---")</f>
        <v>0</v>
      </c>
      <c r="AB4" s="93">
        <f t="shared" ref="AB4:AB13" ca="1" si="11">IF(O4&lt;=$N$4,(V4*4+W4+X4+Y4)*T4^2/(2*9.81),"--")</f>
        <v>3.7696323607081368</v>
      </c>
      <c r="AC4" s="291">
        <f t="shared" ref="AC4:AC13" ca="1" si="12">IF(O4&lt;=$N$4,(Z4*$M$7^2),"--")</f>
        <v>0</v>
      </c>
      <c r="AD4" s="93">
        <f t="shared" ref="AD4:AD13" ca="1" si="13">IF(O4&lt;=$N$4,(AA4*$M$7^2),"--")</f>
        <v>0</v>
      </c>
      <c r="AE4" s="93">
        <f t="shared" ref="AE4:AE13" ca="1" si="14">IF(O4&lt;=$N$4,(AB4+AC4),"---")</f>
        <v>3.7696323607081368</v>
      </c>
      <c r="AF4" s="93">
        <f t="shared" ref="AF4:AF13" ca="1" si="15">IF(O4&lt;=$N$4,(AB4+AD4),"---")</f>
        <v>3.7696323607081368</v>
      </c>
      <c r="AG4" s="292">
        <f t="shared" ref="AG4:AG13" ca="1" si="16">IF(O4&lt;=$N$4,VLOOKUP(Q4&amp;"-D",ParamPiterflow,2,FALSE),"---")</f>
        <v>0.04</v>
      </c>
      <c r="AH4" s="292">
        <f t="shared" ref="AH4:AH13" ca="1" si="17">IF(O4&lt;=$N$4,VLOOKUP(Q4&amp;"-C1",ParamPiterflow,2,FALSE),"---")</f>
        <v>2.4E-2</v>
      </c>
      <c r="AI4" s="292">
        <f t="shared" ref="AI4:AI13" ca="1" si="18">IF(O4&lt;=$N$4,VLOOKUP(Q4&amp;"-B1",ParamPiterflow,2,FALSE),"---")</f>
        <v>1.2999999999999999E-2</v>
      </c>
      <c r="AJ4" s="292">
        <f t="shared" ref="AJ4:AJ13" ca="1" si="19">IF(O4&lt;=$N$4,VLOOKUP(Q4&amp;"-D",ParamPiterflow,4,FALSE),"---")</f>
        <v>6</v>
      </c>
      <c r="AK4" s="293" t="b">
        <f t="shared" ref="AK4:AK13" ca="1" si="20">IF($O4&lt;=$N$4,AND(AG4&lt;$M$8,$AJ4&gt;$M$7),"---")</f>
        <v>0</v>
      </c>
      <c r="AL4" s="293" t="b">
        <f t="shared" ref="AL4:AL13" ca="1" si="21">IF($O4&lt;=$N$4,AND(AH4&lt;$M$8,$AJ4&gt;$M$7),"---")</f>
        <v>0</v>
      </c>
      <c r="AM4" s="293" t="b">
        <f t="shared" ref="AM4:AM13" ca="1" si="22">IF($O4&lt;=$N$4,AND(AI4&lt;$M$8,$AJ4&gt;$M$7),"---")</f>
        <v>0</v>
      </c>
      <c r="AN4" s="294" t="str">
        <f ca="1">IF($O4&lt;=$N$4,IF(AK4,"D",IF(AL4,"C1",IF(AM4,"B1","НЕТ"))),"---")</f>
        <v>НЕТ</v>
      </c>
      <c r="AO4" s="294" t="b">
        <f ca="1">IF($O4&lt;=$N$4,AND(AE4&lt;$M$5,NOT(AN4="НЕТ"),IF($E$26="Экономный",T4&lt;=3,IF(AND($E$26="Оптимальный",T4&gt;$D$51),T4&lt;=1.8,IF(AND($E$26="Затратный",T4&gt;$D$51),T4&lt;=1,T4&lt;=3)))),"---")</f>
        <v>0</v>
      </c>
      <c r="AP4" s="294" t="b">
        <f ca="1">IF($O4&lt;=$N$4,AND(AF4&lt;$M$5,NOT(AN4="НЕТ"),IF($E$26="Экономный",T4&lt;=3,IF(AND($E$26="Оптимальный",T4&gt;$D$51),T4&lt;=1.8,IF(AND($E$26="Затратный",T4&gt;$D$51),T4&lt;=1,T4&lt;=3)))),"---")</f>
        <v>0</v>
      </c>
      <c r="AQ4" s="295"/>
      <c r="AR4" s="296"/>
      <c r="AS4" s="259"/>
      <c r="AT4" s="259">
        <f ca="1">IF(ISERROR(AO2),IF(ISERROR(AP2),"НЕТ",AP2),AO2)</f>
        <v>4</v>
      </c>
      <c r="AU4" s="41"/>
      <c r="AV4" s="41"/>
      <c r="AW4" s="41"/>
      <c r="AX4" s="41"/>
      <c r="AY4" s="41"/>
      <c r="AZ4" s="41"/>
      <c r="BA4" s="41"/>
      <c r="BB4" s="41"/>
    </row>
    <row r="5" spans="2:54" ht="18" customHeight="1" x14ac:dyDescent="0.3">
      <c r="B5" s="8"/>
      <c r="C5" s="791"/>
      <c r="D5" s="792"/>
      <c r="E5" s="793"/>
      <c r="F5" s="276"/>
      <c r="G5" s="276"/>
      <c r="L5" s="297" t="s">
        <v>189</v>
      </c>
      <c r="M5" s="298">
        <f>D32</f>
        <v>0.5</v>
      </c>
      <c r="N5" s="88"/>
      <c r="O5" s="88">
        <v>2</v>
      </c>
      <c r="P5" s="93" t="str">
        <f t="shared" ref="P5:P10" ca="1" si="23">IF(O5&lt;=$N$4,OFFSET(DyTr_New,$P$2-2+O5,4,1),"---")</f>
        <v>20-50</v>
      </c>
      <c r="Q5" s="93" t="str">
        <f t="shared" ca="1" si="0"/>
        <v>ПРЭМ-20</v>
      </c>
      <c r="R5" s="93">
        <f t="shared" ca="1" si="1"/>
        <v>20</v>
      </c>
      <c r="S5" s="93" t="str">
        <f t="shared" ca="1" si="2"/>
        <v>46,4</v>
      </c>
      <c r="T5" s="93">
        <f t="shared" ca="1" si="3"/>
        <v>5.3766676638645965</v>
      </c>
      <c r="U5" s="289">
        <f t="shared" ca="1" si="4"/>
        <v>666193.28835131275</v>
      </c>
      <c r="V5" s="289">
        <f t="shared" ca="1" si="5"/>
        <v>5.2990299783484442E-2</v>
      </c>
      <c r="W5" s="93">
        <f t="shared" ca="1" si="6"/>
        <v>1.6383680833374978E-2</v>
      </c>
      <c r="X5" s="93">
        <f t="shared" ca="1" si="7"/>
        <v>0.78302287976523621</v>
      </c>
      <c r="Y5" s="93">
        <f t="shared" ca="1" si="8"/>
        <v>1.6383680833374978E-2</v>
      </c>
      <c r="Z5" s="290">
        <f t="shared" ca="1" si="9"/>
        <v>0</v>
      </c>
      <c r="AA5" s="290">
        <f t="shared" ca="1" si="10"/>
        <v>0</v>
      </c>
      <c r="AB5" s="93">
        <f t="shared" ca="1" si="11"/>
        <v>1.5143123964438774</v>
      </c>
      <c r="AC5" s="291">
        <f t="shared" ca="1" si="12"/>
        <v>0</v>
      </c>
      <c r="AD5" s="93">
        <f t="shared" ca="1" si="13"/>
        <v>0</v>
      </c>
      <c r="AE5" s="93">
        <f t="shared" ca="1" si="14"/>
        <v>1.5143123964438774</v>
      </c>
      <c r="AF5" s="93">
        <f t="shared" ca="1" si="15"/>
        <v>1.5143123964438774</v>
      </c>
      <c r="AG5" s="292">
        <f t="shared" ca="1" si="16"/>
        <v>0.08</v>
      </c>
      <c r="AH5" s="292">
        <f t="shared" ca="1" si="17"/>
        <v>4.8000000000000001E-2</v>
      </c>
      <c r="AI5" s="292">
        <f t="shared" ca="1" si="18"/>
        <v>2.7E-2</v>
      </c>
      <c r="AJ5" s="292">
        <f t="shared" ca="1" si="19"/>
        <v>12</v>
      </c>
      <c r="AK5" s="293" t="b">
        <f t="shared" ca="1" si="20"/>
        <v>1</v>
      </c>
      <c r="AL5" s="293" t="b">
        <f t="shared" ca="1" si="21"/>
        <v>1</v>
      </c>
      <c r="AM5" s="293" t="b">
        <f t="shared" ca="1" si="22"/>
        <v>1</v>
      </c>
      <c r="AN5" s="294" t="str">
        <f t="shared" ref="AN5:AN13" ca="1" si="24">IF($O5&lt;=$N$4,IF(AK5,"D",IF(AL5,"C1",IF(AM5,"B1","НЕТ"))),"---")</f>
        <v>D</v>
      </c>
      <c r="AO5" s="294" t="b">
        <f t="shared" ref="AO5:AO13" ca="1" si="25">IF($O5&lt;=$N$4,AND(AE5&lt;$M$5,NOT(AN5="НЕТ"),IF($E$26="Экономный",T5&lt;=3,IF(AND($E$26="Оптимальный",T5&gt;$D$51),T5&lt;=1.8,IF(AND($E$26="Затратный",T5&gt;$D$51),T5&lt;=1,T5&lt;=3)))),"---")</f>
        <v>0</v>
      </c>
      <c r="AP5" s="294" t="b">
        <f t="shared" ref="AP5:AP13" ca="1" si="26">IF($O5&lt;=$N$4,AND(AF5&lt;$M$5,NOT(AN5="НЕТ"),IF($E$26="Экономный",T5&lt;=3,IF(AND($E$26="Оптимальный",T5&gt;$D$51),T5&lt;=1.8,IF(AND($E$26="Затратный",T5&gt;$D$51),T5&lt;=1,T5&lt;=3)))),"---")</f>
        <v>0</v>
      </c>
      <c r="AQ5" s="299" t="s">
        <v>18</v>
      </c>
      <c r="AR5" s="300">
        <f ca="1">OFFSET(T4,IF(ISERROR(AO2),IF(ISERROR(AP2),"НЕТ",AP2),AO2)-1,0,1)</f>
        <v>2.1002608061971082</v>
      </c>
      <c r="AS5" s="259"/>
      <c r="AT5" s="259"/>
      <c r="AU5" s="41"/>
      <c r="AV5" s="41"/>
      <c r="AW5" s="41"/>
      <c r="AX5" s="41"/>
      <c r="AY5" s="41"/>
      <c r="AZ5" s="41"/>
      <c r="BA5" s="41"/>
      <c r="BB5" s="41"/>
    </row>
    <row r="6" spans="2:54" ht="18" customHeight="1" x14ac:dyDescent="0.3">
      <c r="B6" s="274"/>
      <c r="C6" s="794"/>
      <c r="D6" s="795"/>
      <c r="E6" s="796"/>
      <c r="F6" s="301"/>
      <c r="G6" s="301"/>
      <c r="L6" s="302" t="s">
        <v>410</v>
      </c>
      <c r="M6" s="303">
        <f>$D$33</f>
        <v>50</v>
      </c>
      <c r="N6" s="88"/>
      <c r="O6" s="88">
        <v>3</v>
      </c>
      <c r="P6" s="93" t="str">
        <f t="shared" ca="1" si="23"/>
        <v>25-50</v>
      </c>
      <c r="Q6" s="93" t="str">
        <f t="shared" ca="1" si="0"/>
        <v>ПРЭМ-25</v>
      </c>
      <c r="R6" s="93">
        <f t="shared" ca="1" si="1"/>
        <v>25</v>
      </c>
      <c r="S6" s="93" t="str">
        <f t="shared" ca="1" si="2"/>
        <v>39,3</v>
      </c>
      <c r="T6" s="93">
        <f t="shared" ca="1" si="3"/>
        <v>3.441067304873342</v>
      </c>
      <c r="U6" s="289">
        <f t="shared" ca="1" si="4"/>
        <v>532954.63068105024</v>
      </c>
      <c r="V6" s="289">
        <f t="shared" ca="1" si="5"/>
        <v>4.8560427292756572E-2</v>
      </c>
      <c r="W6" s="93">
        <f t="shared" ca="1" si="6"/>
        <v>1.6922755912707779E-2</v>
      </c>
      <c r="X6" s="93">
        <f t="shared" ca="1" si="7"/>
        <v>0.49683315067415684</v>
      </c>
      <c r="Y6" s="93">
        <f t="shared" ca="1" si="8"/>
        <v>1.6922755912707779E-2</v>
      </c>
      <c r="Z6" s="290">
        <f t="shared" ca="1" si="9"/>
        <v>0</v>
      </c>
      <c r="AA6" s="290">
        <f t="shared" ca="1" si="10"/>
        <v>0</v>
      </c>
      <c r="AB6" s="93">
        <f t="shared" ca="1" si="11"/>
        <v>0.43749957533025441</v>
      </c>
      <c r="AC6" s="291">
        <f t="shared" ca="1" si="12"/>
        <v>0</v>
      </c>
      <c r="AD6" s="93">
        <f t="shared" ca="1" si="13"/>
        <v>0</v>
      </c>
      <c r="AE6" s="93">
        <f t="shared" ca="1" si="14"/>
        <v>0.43749957533025441</v>
      </c>
      <c r="AF6" s="93">
        <f t="shared" ca="1" si="15"/>
        <v>0.43749957533025441</v>
      </c>
      <c r="AG6" s="292">
        <f t="shared" ca="1" si="16"/>
        <v>0.12</v>
      </c>
      <c r="AH6" s="292">
        <f t="shared" ca="1" si="17"/>
        <v>7.1999999999999995E-2</v>
      </c>
      <c r="AI6" s="292">
        <f t="shared" ca="1" si="18"/>
        <v>0.04</v>
      </c>
      <c r="AJ6" s="292">
        <f t="shared" ca="1" si="19"/>
        <v>18</v>
      </c>
      <c r="AK6" s="293" t="b">
        <f t="shared" ca="1" si="20"/>
        <v>1</v>
      </c>
      <c r="AL6" s="293" t="b">
        <f t="shared" ca="1" si="21"/>
        <v>1</v>
      </c>
      <c r="AM6" s="293" t="b">
        <f t="shared" ca="1" si="22"/>
        <v>1</v>
      </c>
      <c r="AN6" s="294" t="str">
        <f t="shared" ca="1" si="24"/>
        <v>D</v>
      </c>
      <c r="AO6" s="294" t="b">
        <f t="shared" ca="1" si="25"/>
        <v>0</v>
      </c>
      <c r="AP6" s="294" t="b">
        <f t="shared" ca="1" si="26"/>
        <v>0</v>
      </c>
      <c r="AQ6" s="65" t="s">
        <v>22</v>
      </c>
      <c r="AR6" s="300">
        <f ca="1">IF(ISERROR(AO2),IF(ISERROR(AP2),"НЕТ",OFFSET(AF4,AP2-1,0,1)),OFFSET(AE4,AO2-1,0,1))</f>
        <v>9.4053242685897001E-2</v>
      </c>
      <c r="AS6" s="304"/>
      <c r="AT6" s="6">
        <f ca="1">IF(ISERROR(AO2),IF(ISERROR(AP2),"НЕТ",OFFSET(AF4,AP2-1,0,1)),OFFSET(AE4,AO2-1,0,1))</f>
        <v>9.4053242685897001E-2</v>
      </c>
      <c r="AU6" s="41"/>
      <c r="AV6" s="41"/>
      <c r="AW6" s="41"/>
      <c r="AX6" s="41"/>
      <c r="AY6" s="41"/>
      <c r="AZ6" s="41"/>
      <c r="BA6" s="41"/>
      <c r="BB6" s="41"/>
    </row>
    <row r="7" spans="2:54" ht="18" customHeight="1" x14ac:dyDescent="0.3">
      <c r="C7" s="301"/>
      <c r="D7" s="301"/>
      <c r="E7" s="301"/>
      <c r="F7" s="301"/>
      <c r="G7" s="301"/>
      <c r="L7" s="305" t="s">
        <v>71</v>
      </c>
      <c r="M7" s="306">
        <f>D48</f>
        <v>6.0808678680926924</v>
      </c>
      <c r="N7" s="88"/>
      <c r="O7" s="88">
        <v>4</v>
      </c>
      <c r="P7" s="93" t="str">
        <f t="shared" ca="1" si="23"/>
        <v>32-50</v>
      </c>
      <c r="Q7" s="93" t="str">
        <f t="shared" ca="1" si="0"/>
        <v>ПРЭМ-32</v>
      </c>
      <c r="R7" s="93">
        <f t="shared" ca="1" si="1"/>
        <v>32</v>
      </c>
      <c r="S7" s="93" t="str">
        <f t="shared" ca="1" si="2"/>
        <v>28,84</v>
      </c>
      <c r="T7" s="93">
        <f t="shared" ca="1" si="3"/>
        <v>2.1002608061971082</v>
      </c>
      <c r="U7" s="289">
        <f t="shared" ca="1" si="4"/>
        <v>416370.80521957058</v>
      </c>
      <c r="V7" s="289">
        <f t="shared" ca="1" si="5"/>
        <v>4.4277322004702871E-2</v>
      </c>
      <c r="W7" s="93">
        <f t="shared" ca="1" si="6"/>
        <v>1.8496325863946641E-2</v>
      </c>
      <c r="X7" s="93">
        <f t="shared" ca="1" si="7"/>
        <v>0.20423510163470199</v>
      </c>
      <c r="Y7" s="93">
        <f t="shared" ca="1" si="8"/>
        <v>1.8496325863946641E-2</v>
      </c>
      <c r="Z7" s="290">
        <f t="shared" ca="1" si="9"/>
        <v>0</v>
      </c>
      <c r="AA7" s="290">
        <f t="shared" ca="1" si="10"/>
        <v>0</v>
      </c>
      <c r="AB7" s="93">
        <f t="shared" ca="1" si="11"/>
        <v>9.4053242685897001E-2</v>
      </c>
      <c r="AC7" s="291">
        <f t="shared" ca="1" si="12"/>
        <v>0</v>
      </c>
      <c r="AD7" s="93">
        <f t="shared" ca="1" si="13"/>
        <v>0</v>
      </c>
      <c r="AE7" s="93">
        <f t="shared" ca="1" si="14"/>
        <v>9.4053242685897001E-2</v>
      </c>
      <c r="AF7" s="93">
        <f t="shared" ca="1" si="15"/>
        <v>9.4053242685897001E-2</v>
      </c>
      <c r="AG7" s="292">
        <f t="shared" ca="1" si="16"/>
        <v>0.2</v>
      </c>
      <c r="AH7" s="292">
        <f t="shared" ca="1" si="17"/>
        <v>0.12</v>
      </c>
      <c r="AI7" s="292">
        <f t="shared" ca="1" si="18"/>
        <v>6.7000000000000004E-2</v>
      </c>
      <c r="AJ7" s="292">
        <f t="shared" ca="1" si="19"/>
        <v>30</v>
      </c>
      <c r="AK7" s="293" t="b">
        <f t="shared" ca="1" si="20"/>
        <v>1</v>
      </c>
      <c r="AL7" s="293" t="b">
        <f t="shared" ca="1" si="21"/>
        <v>1</v>
      </c>
      <c r="AM7" s="293" t="b">
        <f t="shared" ca="1" si="22"/>
        <v>1</v>
      </c>
      <c r="AN7" s="294" t="str">
        <f t="shared" ca="1" si="24"/>
        <v>D</v>
      </c>
      <c r="AO7" s="294" t="b">
        <f t="shared" ca="1" si="25"/>
        <v>1</v>
      </c>
      <c r="AP7" s="294" t="b">
        <f t="shared" ca="1" si="26"/>
        <v>1</v>
      </c>
      <c r="AQ7" s="307"/>
      <c r="AR7" s="308"/>
      <c r="AS7" s="309"/>
      <c r="AT7" s="310"/>
      <c r="AU7" s="41"/>
      <c r="AV7" s="41"/>
      <c r="AW7" s="41"/>
      <c r="AX7" s="41"/>
      <c r="AY7" s="41"/>
      <c r="AZ7" s="41"/>
      <c r="BA7" s="41"/>
      <c r="BB7" s="41"/>
    </row>
    <row r="8" spans="2:54" ht="18" customHeight="1" x14ac:dyDescent="0.3">
      <c r="C8" s="301"/>
      <c r="D8" s="301"/>
      <c r="E8" s="301"/>
      <c r="F8" s="301"/>
      <c r="G8" s="301"/>
      <c r="L8" s="305" t="s">
        <v>72</v>
      </c>
      <c r="M8" s="306">
        <f>D49</f>
        <v>1.4971516061442012</v>
      </c>
      <c r="N8" s="88"/>
      <c r="O8" s="88">
        <v>5</v>
      </c>
      <c r="P8" s="93" t="str">
        <f t="shared" ca="1" si="23"/>
        <v>40-50</v>
      </c>
      <c r="Q8" s="93" t="str">
        <f t="shared" ca="1" si="0"/>
        <v>ПРЭМ-40</v>
      </c>
      <c r="R8" s="93">
        <f t="shared" ca="1" si="1"/>
        <v>40</v>
      </c>
      <c r="S8" s="93" t="str">
        <f t="shared" ca="1" si="2"/>
        <v>11,42</v>
      </c>
      <c r="T8" s="93">
        <f t="shared" ca="1" si="3"/>
        <v>1.3441669159661491</v>
      </c>
      <c r="U8" s="289">
        <f t="shared" ca="1" si="4"/>
        <v>333096.64417565637</v>
      </c>
      <c r="V8" s="289">
        <f t="shared" ca="1" si="5"/>
        <v>4.0875226338606262E-2</v>
      </c>
      <c r="W8" s="93">
        <f t="shared" ca="1" si="6"/>
        <v>3.0319510161434582E-2</v>
      </c>
      <c r="X8" s="93">
        <f t="shared" ca="1" si="7"/>
        <v>2.3318371452135389E-2</v>
      </c>
      <c r="Y8" s="93">
        <f t="shared" ca="1" si="8"/>
        <v>3.0319510161434582E-2</v>
      </c>
      <c r="Z8" s="290">
        <f t="shared" ca="1" si="9"/>
        <v>0</v>
      </c>
      <c r="AA8" s="290">
        <f t="shared" ca="1" si="10"/>
        <v>0</v>
      </c>
      <c r="AB8" s="93">
        <f t="shared" ca="1" si="11"/>
        <v>2.2788168432269818E-2</v>
      </c>
      <c r="AC8" s="291">
        <f t="shared" ca="1" si="12"/>
        <v>0</v>
      </c>
      <c r="AD8" s="93">
        <f t="shared" ca="1" si="13"/>
        <v>0</v>
      </c>
      <c r="AE8" s="93">
        <f t="shared" ca="1" si="14"/>
        <v>2.2788168432269818E-2</v>
      </c>
      <c r="AF8" s="93">
        <f t="shared" ca="1" si="15"/>
        <v>2.2788168432269818E-2</v>
      </c>
      <c r="AG8" s="292">
        <f t="shared" ca="1" si="16"/>
        <v>0.3</v>
      </c>
      <c r="AH8" s="292">
        <f t="shared" ca="1" si="17"/>
        <v>0.18</v>
      </c>
      <c r="AI8" s="292">
        <f t="shared" ca="1" si="18"/>
        <v>0.1</v>
      </c>
      <c r="AJ8" s="292">
        <f t="shared" ca="1" si="19"/>
        <v>45</v>
      </c>
      <c r="AK8" s="293" t="b">
        <f t="shared" ca="1" si="20"/>
        <v>1</v>
      </c>
      <c r="AL8" s="293" t="b">
        <f t="shared" ca="1" si="21"/>
        <v>1</v>
      </c>
      <c r="AM8" s="293" t="b">
        <f t="shared" ca="1" si="22"/>
        <v>1</v>
      </c>
      <c r="AN8" s="294" t="str">
        <f t="shared" ca="1" si="24"/>
        <v>D</v>
      </c>
      <c r="AO8" s="294" t="b">
        <f t="shared" ca="1" si="25"/>
        <v>1</v>
      </c>
      <c r="AP8" s="294" t="b">
        <f t="shared" ca="1" si="26"/>
        <v>1</v>
      </c>
      <c r="AQ8" s="311"/>
      <c r="AR8" s="312"/>
      <c r="AS8" s="313"/>
      <c r="AT8" s="314"/>
      <c r="AU8" s="41"/>
      <c r="AV8" s="41"/>
      <c r="AW8" s="41"/>
      <c r="AX8" s="41"/>
      <c r="AY8" s="41"/>
      <c r="AZ8" s="41"/>
      <c r="BA8" s="41"/>
      <c r="BB8" s="41"/>
    </row>
    <row r="9" spans="2:54" ht="18" customHeight="1" x14ac:dyDescent="0.35">
      <c r="L9" s="305" t="s">
        <v>73</v>
      </c>
      <c r="M9" s="315">
        <f>D61</f>
        <v>1.6141464520516888E-7</v>
      </c>
      <c r="N9" s="88"/>
      <c r="O9" s="88">
        <v>6</v>
      </c>
      <c r="P9" s="93" t="str">
        <f t="shared" ca="1" si="23"/>
        <v>50-50</v>
      </c>
      <c r="Q9" s="93" t="str">
        <f t="shared" ca="1" si="0"/>
        <v>ПРЭМ-50</v>
      </c>
      <c r="R9" s="93">
        <f t="shared" ca="1" si="1"/>
        <v>50</v>
      </c>
      <c r="S9" s="93">
        <f t="shared" ca="1" si="2"/>
        <v>0</v>
      </c>
      <c r="T9" s="93">
        <f t="shared" ca="1" si="3"/>
        <v>0.8602668262183355</v>
      </c>
      <c r="U9" s="289">
        <f t="shared" ca="1" si="4"/>
        <v>266477.31534052512</v>
      </c>
      <c r="V9" s="289">
        <f t="shared" ca="1" si="5"/>
        <v>3.7850686611455138E-2</v>
      </c>
      <c r="W9" s="93">
        <f t="shared" ca="1" si="6"/>
        <v>0</v>
      </c>
      <c r="X9" s="93">
        <f t="shared" ca="1" si="7"/>
        <v>0</v>
      </c>
      <c r="Y9" s="93">
        <f t="shared" ca="1" si="8"/>
        <v>0</v>
      </c>
      <c r="Z9" s="290">
        <f t="shared" ca="1" si="9"/>
        <v>0</v>
      </c>
      <c r="AA9" s="290">
        <f t="shared" ca="1" si="10"/>
        <v>0</v>
      </c>
      <c r="AB9" s="93">
        <f t="shared" ca="1" si="11"/>
        <v>5.7108545867968867E-3</v>
      </c>
      <c r="AC9" s="291">
        <f t="shared" ca="1" si="12"/>
        <v>0</v>
      </c>
      <c r="AD9" s="93">
        <f t="shared" ca="1" si="13"/>
        <v>0</v>
      </c>
      <c r="AE9" s="93">
        <f t="shared" ca="1" si="14"/>
        <v>5.7108545867968867E-3</v>
      </c>
      <c r="AF9" s="93">
        <f t="shared" ca="1" si="15"/>
        <v>5.7108545867968867E-3</v>
      </c>
      <c r="AG9" s="292">
        <f t="shared" ca="1" si="16"/>
        <v>0.48</v>
      </c>
      <c r="AH9" s="292">
        <f t="shared" ca="1" si="17"/>
        <v>0.28799999999999998</v>
      </c>
      <c r="AI9" s="292">
        <f t="shared" ca="1" si="18"/>
        <v>0.16</v>
      </c>
      <c r="AJ9" s="292">
        <f t="shared" ca="1" si="19"/>
        <v>72</v>
      </c>
      <c r="AK9" s="293" t="b">
        <f t="shared" ca="1" si="20"/>
        <v>1</v>
      </c>
      <c r="AL9" s="293" t="b">
        <f t="shared" ca="1" si="21"/>
        <v>1</v>
      </c>
      <c r="AM9" s="293" t="b">
        <f t="shared" ca="1" si="22"/>
        <v>1</v>
      </c>
      <c r="AN9" s="294" t="str">
        <f t="shared" ca="1" si="24"/>
        <v>D</v>
      </c>
      <c r="AO9" s="294" t="b">
        <f t="shared" ca="1" si="25"/>
        <v>1</v>
      </c>
      <c r="AP9" s="294" t="b">
        <f t="shared" ca="1" si="26"/>
        <v>1</v>
      </c>
      <c r="AQ9" s="91"/>
      <c r="AS9" s="316"/>
      <c r="AT9" s="317"/>
      <c r="AU9" s="41"/>
      <c r="AV9" s="41"/>
      <c r="AW9" s="41"/>
      <c r="AX9" s="41"/>
      <c r="AY9" s="41"/>
      <c r="AZ9" s="41"/>
      <c r="BA9" s="41"/>
      <c r="BB9" s="41"/>
    </row>
    <row r="10" spans="2:54" ht="18" customHeight="1" thickBot="1" x14ac:dyDescent="0.35">
      <c r="L10" s="318" t="s">
        <v>102</v>
      </c>
      <c r="M10" s="319">
        <f>(M7/3.6)/((PI()*M6^2)/4000)</f>
        <v>0.8602668262183355</v>
      </c>
      <c r="O10" s="88">
        <v>7</v>
      </c>
      <c r="P10" s="93" t="str">
        <f t="shared" ca="1" si="23"/>
        <v>---</v>
      </c>
      <c r="Q10" s="93" t="str">
        <f t="shared" ca="1" si="0"/>
        <v>---</v>
      </c>
      <c r="R10" s="93" t="str">
        <f t="shared" ca="1" si="1"/>
        <v>---</v>
      </c>
      <c r="S10" s="93" t="str">
        <f t="shared" ca="1" si="2"/>
        <v>---</v>
      </c>
      <c r="T10" s="93" t="str">
        <f t="shared" ca="1" si="3"/>
        <v>---</v>
      </c>
      <c r="U10" s="289" t="str">
        <f t="shared" ca="1" si="4"/>
        <v>---</v>
      </c>
      <c r="V10" s="289" t="str">
        <f t="shared" ca="1" si="5"/>
        <v>---</v>
      </c>
      <c r="W10" s="93" t="str">
        <f t="shared" ca="1" si="6"/>
        <v>---</v>
      </c>
      <c r="X10" s="93" t="str">
        <f t="shared" ca="1" si="7"/>
        <v>---</v>
      </c>
      <c r="Y10" s="93" t="str">
        <f t="shared" ca="1" si="8"/>
        <v>---</v>
      </c>
      <c r="Z10" s="290" t="str">
        <f t="shared" ca="1" si="9"/>
        <v>---</v>
      </c>
      <c r="AA10" s="290" t="str">
        <f t="shared" ca="1" si="10"/>
        <v>---</v>
      </c>
      <c r="AB10" s="93" t="str">
        <f t="shared" ca="1" si="11"/>
        <v>--</v>
      </c>
      <c r="AC10" s="291" t="str">
        <f t="shared" ca="1" si="12"/>
        <v>--</v>
      </c>
      <c r="AD10" s="93" t="str">
        <f t="shared" ca="1" si="13"/>
        <v>--</v>
      </c>
      <c r="AE10" s="93" t="str">
        <f t="shared" ca="1" si="14"/>
        <v>---</v>
      </c>
      <c r="AF10" s="93" t="str">
        <f t="shared" ca="1" si="15"/>
        <v>---</v>
      </c>
      <c r="AG10" s="292" t="str">
        <f t="shared" ca="1" si="16"/>
        <v>---</v>
      </c>
      <c r="AH10" s="292" t="str">
        <f t="shared" ca="1" si="17"/>
        <v>---</v>
      </c>
      <c r="AI10" s="292" t="str">
        <f t="shared" ca="1" si="18"/>
        <v>---</v>
      </c>
      <c r="AJ10" s="292" t="str">
        <f t="shared" ca="1" si="19"/>
        <v>---</v>
      </c>
      <c r="AK10" s="293" t="str">
        <f t="shared" ca="1" si="20"/>
        <v>---</v>
      </c>
      <c r="AL10" s="293" t="str">
        <f t="shared" ca="1" si="21"/>
        <v>---</v>
      </c>
      <c r="AM10" s="293" t="str">
        <f t="shared" ca="1" si="22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  <c r="AU10" s="41"/>
      <c r="AV10" s="41"/>
      <c r="AW10" s="41"/>
      <c r="AX10" s="41"/>
      <c r="AY10" s="41"/>
      <c r="AZ10" s="41"/>
      <c r="BA10" s="41"/>
      <c r="BB10" s="41"/>
    </row>
    <row r="11" spans="2:54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0"/>
        <v>---</v>
      </c>
      <c r="R11" s="93" t="str">
        <f t="shared" ca="1" si="1"/>
        <v>---</v>
      </c>
      <c r="S11" s="93" t="str">
        <f t="shared" ca="1" si="2"/>
        <v>---</v>
      </c>
      <c r="T11" s="93" t="str">
        <f t="shared" ca="1" si="3"/>
        <v>---</v>
      </c>
      <c r="U11" s="289" t="str">
        <f t="shared" ca="1" si="4"/>
        <v>---</v>
      </c>
      <c r="V11" s="289" t="str">
        <f t="shared" ca="1" si="5"/>
        <v>---</v>
      </c>
      <c r="W11" s="93" t="str">
        <f t="shared" ca="1" si="6"/>
        <v>---</v>
      </c>
      <c r="X11" s="93" t="str">
        <f t="shared" ca="1" si="7"/>
        <v>---</v>
      </c>
      <c r="Y11" s="93" t="str">
        <f t="shared" ca="1" si="8"/>
        <v>---</v>
      </c>
      <c r="Z11" s="290" t="str">
        <f t="shared" ca="1" si="9"/>
        <v>---</v>
      </c>
      <c r="AA11" s="290" t="str">
        <f t="shared" ca="1" si="10"/>
        <v>---</v>
      </c>
      <c r="AB11" s="93" t="str">
        <f t="shared" ca="1" si="11"/>
        <v>--</v>
      </c>
      <c r="AC11" s="291" t="str">
        <f t="shared" ca="1" si="12"/>
        <v>--</v>
      </c>
      <c r="AD11" s="93" t="str">
        <f t="shared" ca="1" si="13"/>
        <v>--</v>
      </c>
      <c r="AE11" s="93" t="str">
        <f t="shared" ca="1" si="14"/>
        <v>---</v>
      </c>
      <c r="AF11" s="93" t="str">
        <f t="shared" ca="1" si="15"/>
        <v>---</v>
      </c>
      <c r="AG11" s="292" t="str">
        <f t="shared" ca="1" si="16"/>
        <v>---</v>
      </c>
      <c r="AH11" s="292" t="str">
        <f t="shared" ca="1" si="17"/>
        <v>---</v>
      </c>
      <c r="AI11" s="292" t="str">
        <f t="shared" ca="1" si="18"/>
        <v>---</v>
      </c>
      <c r="AJ11" s="292" t="str">
        <f t="shared" ca="1" si="19"/>
        <v>---</v>
      </c>
      <c r="AK11" s="293" t="str">
        <f t="shared" ca="1" si="20"/>
        <v>---</v>
      </c>
      <c r="AL11" s="293" t="str">
        <f t="shared" ca="1" si="21"/>
        <v>---</v>
      </c>
      <c r="AM11" s="293" t="str">
        <f t="shared" ca="1" si="22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U11" s="41"/>
      <c r="AV11" s="41"/>
      <c r="AW11" s="41"/>
      <c r="AX11" s="41"/>
      <c r="AY11" s="41"/>
      <c r="AZ11" s="41"/>
      <c r="BA11" s="41"/>
      <c r="BB11" s="41"/>
    </row>
    <row r="12" spans="2:54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0"/>
        <v>---</v>
      </c>
      <c r="R12" s="93" t="str">
        <f t="shared" ca="1" si="1"/>
        <v>---</v>
      </c>
      <c r="S12" s="93" t="str">
        <f t="shared" ca="1" si="2"/>
        <v>---</v>
      </c>
      <c r="T12" s="93" t="str">
        <f t="shared" ca="1" si="3"/>
        <v>---</v>
      </c>
      <c r="U12" s="289" t="str">
        <f t="shared" ca="1" si="4"/>
        <v>---</v>
      </c>
      <c r="V12" s="289" t="str">
        <f t="shared" ca="1" si="5"/>
        <v>---</v>
      </c>
      <c r="W12" s="93" t="str">
        <f t="shared" ca="1" si="6"/>
        <v>---</v>
      </c>
      <c r="X12" s="93" t="str">
        <f t="shared" ca="1" si="7"/>
        <v>---</v>
      </c>
      <c r="Y12" s="93" t="str">
        <f t="shared" ca="1" si="8"/>
        <v>---</v>
      </c>
      <c r="Z12" s="290" t="str">
        <f t="shared" ca="1" si="9"/>
        <v>---</v>
      </c>
      <c r="AA12" s="290" t="str">
        <f t="shared" ca="1" si="10"/>
        <v>---</v>
      </c>
      <c r="AB12" s="93" t="str">
        <f t="shared" ca="1" si="11"/>
        <v>--</v>
      </c>
      <c r="AC12" s="291" t="str">
        <f t="shared" ca="1" si="12"/>
        <v>--</v>
      </c>
      <c r="AD12" s="93" t="str">
        <f t="shared" ca="1" si="13"/>
        <v>--</v>
      </c>
      <c r="AE12" s="93" t="str">
        <f t="shared" ca="1" si="14"/>
        <v>---</v>
      </c>
      <c r="AF12" s="93" t="str">
        <f t="shared" ca="1" si="15"/>
        <v>---</v>
      </c>
      <c r="AG12" s="292" t="str">
        <f t="shared" ca="1" si="16"/>
        <v>---</v>
      </c>
      <c r="AH12" s="292" t="str">
        <f t="shared" ca="1" si="17"/>
        <v>---</v>
      </c>
      <c r="AI12" s="292" t="str">
        <f t="shared" ca="1" si="18"/>
        <v>---</v>
      </c>
      <c r="AJ12" s="292" t="str">
        <f t="shared" ca="1" si="19"/>
        <v>---</v>
      </c>
      <c r="AK12" s="293" t="str">
        <f t="shared" ca="1" si="20"/>
        <v>---</v>
      </c>
      <c r="AL12" s="293" t="str">
        <f t="shared" ca="1" si="21"/>
        <v>---</v>
      </c>
      <c r="AM12" s="293" t="str">
        <f t="shared" ca="1" si="22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U12" s="41"/>
      <c r="AV12" s="41"/>
      <c r="AW12" s="41"/>
      <c r="AX12" s="41"/>
      <c r="AY12" s="41"/>
      <c r="AZ12" s="41"/>
      <c r="BA12" s="41"/>
      <c r="BB12" s="41"/>
    </row>
    <row r="13" spans="2:54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0"/>
        <v>---</v>
      </c>
      <c r="R13" s="93" t="str">
        <f t="shared" ca="1" si="1"/>
        <v>---</v>
      </c>
      <c r="S13" s="93" t="str">
        <f t="shared" ca="1" si="2"/>
        <v>---</v>
      </c>
      <c r="T13" s="93" t="str">
        <f t="shared" ca="1" si="3"/>
        <v>---</v>
      </c>
      <c r="U13" s="289" t="str">
        <f t="shared" ca="1" si="4"/>
        <v>---</v>
      </c>
      <c r="V13" s="289" t="str">
        <f t="shared" ca="1" si="5"/>
        <v>---</v>
      </c>
      <c r="W13" s="93" t="str">
        <f t="shared" ca="1" si="6"/>
        <v>---</v>
      </c>
      <c r="X13" s="93" t="str">
        <f t="shared" ca="1" si="7"/>
        <v>---</v>
      </c>
      <c r="Y13" s="93" t="str">
        <f t="shared" ca="1" si="8"/>
        <v>---</v>
      </c>
      <c r="Z13" s="290" t="str">
        <f t="shared" ca="1" si="9"/>
        <v>---</v>
      </c>
      <c r="AA13" s="290" t="str">
        <f t="shared" ca="1" si="10"/>
        <v>---</v>
      </c>
      <c r="AB13" s="93" t="str">
        <f t="shared" ca="1" si="11"/>
        <v>--</v>
      </c>
      <c r="AC13" s="291" t="str">
        <f t="shared" ca="1" si="12"/>
        <v>--</v>
      </c>
      <c r="AD13" s="93" t="str">
        <f t="shared" ca="1" si="13"/>
        <v>--</v>
      </c>
      <c r="AE13" s="93" t="str">
        <f t="shared" ca="1" si="14"/>
        <v>---</v>
      </c>
      <c r="AF13" s="93" t="str">
        <f t="shared" ca="1" si="15"/>
        <v>---</v>
      </c>
      <c r="AG13" s="292" t="str">
        <f t="shared" ca="1" si="16"/>
        <v>---</v>
      </c>
      <c r="AH13" s="292" t="str">
        <f t="shared" ca="1" si="17"/>
        <v>---</v>
      </c>
      <c r="AI13" s="292" t="str">
        <f t="shared" ca="1" si="18"/>
        <v>---</v>
      </c>
      <c r="AJ13" s="292" t="str">
        <f t="shared" ca="1" si="19"/>
        <v>---</v>
      </c>
      <c r="AK13" s="293" t="str">
        <f t="shared" ca="1" si="20"/>
        <v>---</v>
      </c>
      <c r="AL13" s="293" t="str">
        <f t="shared" ca="1" si="21"/>
        <v>---</v>
      </c>
      <c r="AM13" s="293" t="str">
        <f t="shared" ca="1" si="22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U13" s="41"/>
      <c r="AV13" s="41"/>
      <c r="AW13" s="41"/>
      <c r="AX13" s="41"/>
      <c r="AY13" s="41"/>
      <c r="AZ13" s="41"/>
      <c r="BA13" s="41"/>
      <c r="BB13" s="41"/>
    </row>
    <row r="14" spans="2:54" ht="18" customHeight="1" thickBot="1" x14ac:dyDescent="0.35">
      <c r="T14" s="321" t="s">
        <v>411</v>
      </c>
      <c r="Z14" s="322"/>
      <c r="AA14" s="322"/>
      <c r="AS14" s="41"/>
      <c r="AU14" s="41"/>
      <c r="AV14" s="41"/>
      <c r="AW14" s="41"/>
      <c r="AX14" s="41"/>
      <c r="AY14" s="41"/>
      <c r="AZ14" s="41"/>
      <c r="BA14" s="41"/>
      <c r="BB14" s="41"/>
    </row>
    <row r="15" spans="2:54" ht="18" customHeight="1" thickBot="1" x14ac:dyDescent="0.35">
      <c r="N15" s="262"/>
      <c r="O15" s="263" t="s">
        <v>406</v>
      </c>
      <c r="P15" s="264">
        <f>MATCH(M19,DyTr_New,0)</f>
        <v>16</v>
      </c>
      <c r="Q15" s="265">
        <f ca="1">MATCH(TRUE,AO17:AO26,0)</f>
        <v>4</v>
      </c>
      <c r="R15" s="266" t="s">
        <v>103</v>
      </c>
      <c r="S15" s="267"/>
      <c r="T15" s="323">
        <f ca="1">IF(M6=M19,Q2,Q15)</f>
        <v>4</v>
      </c>
      <c r="U15" s="268">
        <f ca="1">MATCH(TRUE,AO17:AO26,0)</f>
        <v>4</v>
      </c>
      <c r="V15" s="269" t="s">
        <v>407</v>
      </c>
      <c r="W15" s="270"/>
      <c r="X15" s="270"/>
      <c r="Y15" s="270"/>
      <c r="Z15" s="838" t="s">
        <v>206</v>
      </c>
      <c r="AA15" s="838"/>
      <c r="AB15" s="258"/>
      <c r="AG15" s="826" t="s">
        <v>75</v>
      </c>
      <c r="AH15" s="826"/>
      <c r="AI15" s="826"/>
      <c r="AJ15" s="271" t="s">
        <v>66</v>
      </c>
      <c r="AK15" s="810" t="s">
        <v>65</v>
      </c>
      <c r="AL15" s="810"/>
      <c r="AM15" s="810"/>
      <c r="AN15" s="272"/>
      <c r="AO15" s="273">
        <f ca="1">MATCH(TRUE,AO17:AO26,0)</f>
        <v>4</v>
      </c>
      <c r="AP15" s="273">
        <f ca="1">MATCH(TRUE,AP17:AP26,0)</f>
        <v>4</v>
      </c>
      <c r="AQ15" s="802" t="s">
        <v>69</v>
      </c>
      <c r="AR15" s="803"/>
      <c r="AS15" s="41"/>
      <c r="AU15" s="41"/>
      <c r="AV15" s="41"/>
      <c r="AW15" s="41"/>
      <c r="AX15" s="41"/>
      <c r="AY15" s="41"/>
      <c r="AZ15" s="41"/>
      <c r="BA15" s="41"/>
      <c r="BB15" s="41"/>
    </row>
    <row r="16" spans="2:54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ПРЭМ-32-D-Cэндвич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ПРЭМ-32-D</v>
      </c>
      <c r="AU16" s="41"/>
      <c r="AV16" s="41"/>
      <c r="AW16" s="41"/>
      <c r="AX16" s="41"/>
      <c r="AY16" s="41"/>
      <c r="AZ16" s="41"/>
      <c r="BA16" s="41"/>
      <c r="BB16" s="41"/>
    </row>
    <row r="17" spans="2:54" ht="18" customHeight="1" x14ac:dyDescent="0.3">
      <c r="L17" s="287" t="s">
        <v>74</v>
      </c>
      <c r="M17" s="288">
        <v>0.5</v>
      </c>
      <c r="N17" s="88">
        <f ca="1">OFFSET(DyTr_New,P15-1,1,1)</f>
        <v>6</v>
      </c>
      <c r="O17" s="88">
        <v>1</v>
      </c>
      <c r="P17" s="93" t="str">
        <f t="shared" ref="P17:P23" ca="1" si="27">IF(O17&lt;=$N$17,OFFSET(DyTr_New,$P$15-2+O17,4,1),"---")</f>
        <v>15-50</v>
      </c>
      <c r="Q17" s="93" t="str">
        <f t="shared" ref="Q17:Q23" ca="1" si="28">IF(O17&lt;=$N$17,OFFSET(DyTr_New,$P$15-2+O17,2,1),"---")</f>
        <v>ПРЭМ-15</v>
      </c>
      <c r="R17" s="93">
        <f t="shared" ref="R17:R23" ca="1" si="29">IF(O17&lt;=$N$17,OFFSET(DyTr_New,$P$15-2+O17,5,1),"---")</f>
        <v>15</v>
      </c>
      <c r="S17" s="93" t="str">
        <f ca="1">IF(O17&lt;=$N$17,OFFSET(DyTr_New,$P$15-2+O17,6,1),"---")</f>
        <v>30,14</v>
      </c>
      <c r="T17" s="93">
        <f ca="1">IF(O17&lt;=$N$17,($M$20/3.6)/((PI()*R17^2)/4000),"---")</f>
        <v>8.9640219088190918</v>
      </c>
      <c r="U17" s="289">
        <f ca="1">IF(O17&lt;=$N$17,(T17*R17/$M$22/1000),"---")</f>
        <v>335538.9515459286</v>
      </c>
      <c r="V17" s="289">
        <f ca="1">IF(O17&lt;=$N$17,(1/(1.14+2*LOG((R17/$M$17),10))^2),"---")</f>
        <v>5.9655827422120798E-2</v>
      </c>
      <c r="W17" s="93">
        <f ca="1">IF(O17&lt;=$N$17,(IF(S17=0,0,(V17/(8*SIN(RADIANS(S17/2))))*(1-(R17/$M$19)^4))),"---")</f>
        <v>2.8448487298016373E-2</v>
      </c>
      <c r="X17" s="93">
        <f ca="1">IF(O17&lt;=$N$17,(3.2*TAN(RADIANS(S17/2))^1.25*(1-(R17/$M$19)^2)^2),"---")</f>
        <v>0.51397936922726728</v>
      </c>
      <c r="Y17" s="93">
        <f ca="1">IF(O17&lt;=$N$17,(IF(S17=0,0,V17/(8*SIN(RADIANS(S17/2)))*(1-(R17/$M$19)^4))),"---")</f>
        <v>2.8448487298016373E-2</v>
      </c>
      <c r="Z17" s="290">
        <f t="shared" ref="Z17:Z23" ca="1" si="30">IF(O17&lt;=$N$17,VLOOKUP(Q17&amp;"-Сэндвич",TypePFlow,3,FALSE),"---")</f>
        <v>0</v>
      </c>
      <c r="AA17" s="290">
        <f t="shared" ref="AA17:AA23" ca="1" si="31">IF(O17&lt;=$N$17,VLOOKUP(Q17&amp;"-Фланец",TypePFlow,3,FALSE),"---")</f>
        <v>0</v>
      </c>
      <c r="AB17" s="93">
        <f t="shared" ref="AB17:AB23" ca="1" si="32">IF(O17&lt;=$N$17,(V17*4+W17+X17+Y17)*T17^2/(2*9.81),"--")</f>
        <v>3.3153049555174108</v>
      </c>
      <c r="AC17" s="291">
        <f t="shared" ref="AC17:AC23" ca="1" si="33">IF(O17&lt;=$N$17,(Z17*$M$20^2),"--")</f>
        <v>0</v>
      </c>
      <c r="AD17" s="93">
        <f t="shared" ref="AD17:AD23" ca="1" si="34">IF(O17&lt;=$N$17,(AA17*$M$20^2),"--")</f>
        <v>0</v>
      </c>
      <c r="AE17" s="93">
        <f t="shared" ref="AE17:AE23" ca="1" si="35">IF(O17&lt;=$N$17,(AB17+AC17),"---")</f>
        <v>3.3153049555174108</v>
      </c>
      <c r="AF17" s="93">
        <f t="shared" ref="AF17:AF23" ca="1" si="36">IF(O17&lt;=$N$17,(AB17+AD17),"---")</f>
        <v>3.3153049555174108</v>
      </c>
      <c r="AG17" s="292">
        <f t="shared" ref="AG17:AG23" ca="1" si="37">IF(O17&lt;=$N$17,VLOOKUP(Q17&amp;"-D",ParamPiterflow,2,FALSE),"---")</f>
        <v>0.04</v>
      </c>
      <c r="AH17" s="292">
        <f t="shared" ref="AH17:AH23" ca="1" si="38">IF(O17&lt;=$N$17,VLOOKUP(Q17&amp;"-C1",ParamPiterflow,2,FALSE),"---")</f>
        <v>2.4E-2</v>
      </c>
      <c r="AI17" s="292">
        <f t="shared" ref="AI17:AI23" ca="1" si="39">IF(O17&lt;=$N$17,VLOOKUP(Q17&amp;"-B1",ParamPiterflow,2,FALSE),"---")</f>
        <v>1.2999999999999999E-2</v>
      </c>
      <c r="AJ17" s="292">
        <f t="shared" ref="AJ17:AJ23" ca="1" si="40">IF(O17&lt;=$N$17,VLOOKUP(Q17&amp;"-D",ParamPiterflow,4,FALSE),"---")</f>
        <v>6</v>
      </c>
      <c r="AK17" s="293" t="b">
        <f t="shared" ref="AK17:AK23" ca="1" si="41">IF($O17&lt;=$N$17,AND(AG17&lt;$M$21,$AJ17&gt;$M$20),"---")</f>
        <v>1</v>
      </c>
      <c r="AL17" s="293" t="b">
        <f t="shared" ref="AL17:AL23" ca="1" si="42">IF($O17&lt;=$N$17,AND(AH17&lt;$M$21,$AJ17&gt;$M$20),"---")</f>
        <v>1</v>
      </c>
      <c r="AM17" s="293" t="b">
        <f t="shared" ref="AM17:AM23" ca="1" si="43">IF($O17&lt;=$N$17,AND(AI17&lt;$M$21,$AJ17&gt;$M$20),"---")</f>
        <v>1</v>
      </c>
      <c r="AN17" s="294" t="str">
        <f ca="1">IF($O17&lt;=$N$17,IF(AK17,"D",IF(AL17,"C1",IF(AM17,"B1","НЕТ"))),"---")</f>
        <v>D</v>
      </c>
      <c r="AO17" s="294" t="b">
        <f ca="1">IF($O17&lt;=$N$17,AND(AE17&lt;$M$18,NOT(AN17="НЕТ"),IF($E$26="Экономный",T17&lt;=3,IF(AND($E$26="Оптимальный",T17&gt;$E$51),T17&lt;=1.8,IF(AND($E$26="Затратный",T17&gt;$E$51),T17&lt;=1,T17&lt;=3)))),"---")</f>
        <v>0</v>
      </c>
      <c r="AP17" s="294" t="b">
        <f ca="1">IF($O17&lt;=$N$17,AND(AF17&lt;$M$18,NOT(AN17="НЕТ"),IF($E$26="Экономный",T17&lt;=3,IF(AND($E$26="Оптимальный",T17&gt;$E$51),T17&lt;=1.8,IF(AND($E$26="Затратный",T17&gt;$E$51),T17&lt;=1,T17&lt;=3)))),"---")</f>
        <v>0</v>
      </c>
      <c r="AQ17" s="295"/>
      <c r="AR17" s="296"/>
      <c r="AS17" s="41"/>
      <c r="AU17" s="41"/>
      <c r="AV17" s="41"/>
      <c r="AW17" s="41"/>
      <c r="AX17" s="41"/>
      <c r="AY17" s="41"/>
      <c r="AZ17" s="41"/>
      <c r="BA17" s="41"/>
      <c r="BB17" s="41"/>
    </row>
    <row r="18" spans="2:54" ht="18" customHeight="1" x14ac:dyDescent="0.3">
      <c r="L18" s="297" t="s">
        <v>189</v>
      </c>
      <c r="M18" s="298">
        <f>E32</f>
        <v>0.5</v>
      </c>
      <c r="N18" s="88"/>
      <c r="O18" s="88">
        <v>2</v>
      </c>
      <c r="P18" s="93" t="str">
        <f t="shared" ca="1" si="27"/>
        <v>20-50</v>
      </c>
      <c r="Q18" s="93" t="str">
        <f t="shared" ca="1" si="28"/>
        <v>ПРЭМ-20</v>
      </c>
      <c r="R18" s="93">
        <f t="shared" ca="1" si="29"/>
        <v>20</v>
      </c>
      <c r="S18" s="93" t="str">
        <f t="shared" ref="S18:S23" ca="1" si="44">IF(O18&lt;=$N$17,OFFSET(DyTr_New,$P$15-2+O18,6,1),"---")</f>
        <v>46,4</v>
      </c>
      <c r="T18" s="93">
        <f t="shared" ref="T18:T23" ca="1" si="45">IF(O18&lt;=$N$17,($M$20/3.6)/((PI()*R18^2)/4000),"---")</f>
        <v>5.0422623237107391</v>
      </c>
      <c r="U18" s="289">
        <f t="shared" ref="U18:U23" ca="1" si="46">IF(O18&lt;=$N$17,(T18*R18/$M$22/1000),"---")</f>
        <v>251654.21365944645</v>
      </c>
      <c r="V18" s="289">
        <f t="shared" ref="V18:V23" ca="1" si="47">IF(O18&lt;=$N$17,(1/(1.14+2*LOG((R18/$M$17),10))^2),"---")</f>
        <v>5.2990299783484442E-2</v>
      </c>
      <c r="W18" s="93">
        <f t="shared" ref="W18:W23" ca="1" si="48">IF(O18&lt;=$N$17,(IF(S18=0,0,(V18/(8*SIN(RADIANS(S18/2))))*(1-(R18/$M$19)^4))),"---")</f>
        <v>1.6383680833374978E-2</v>
      </c>
      <c r="X18" s="93">
        <f t="shared" ref="X18:X23" ca="1" si="49">IF(O18&lt;=$N$17,(3.2*TAN(RADIANS(S18/2))^1.25*(1-(R18/$M$19)^2)^2),"---")</f>
        <v>0.78302287976523621</v>
      </c>
      <c r="Y18" s="93">
        <f t="shared" ref="Y18:Y23" ca="1" si="50">IF(O18&lt;=$N$17,(IF(S18=0,0,V18/(8*SIN(RADIANS(S18/2)))*(1-(R18/$M$19)^4))),"---")</f>
        <v>1.6383680833374978E-2</v>
      </c>
      <c r="Z18" s="290">
        <f t="shared" ca="1" si="30"/>
        <v>0</v>
      </c>
      <c r="AA18" s="290">
        <f t="shared" ca="1" si="31"/>
        <v>0</v>
      </c>
      <c r="AB18" s="93">
        <f t="shared" ca="1" si="32"/>
        <v>1.3318029218076677</v>
      </c>
      <c r="AC18" s="291">
        <f t="shared" ca="1" si="33"/>
        <v>0</v>
      </c>
      <c r="AD18" s="93">
        <f t="shared" ca="1" si="34"/>
        <v>0</v>
      </c>
      <c r="AE18" s="93">
        <f t="shared" ca="1" si="35"/>
        <v>1.3318029218076677</v>
      </c>
      <c r="AF18" s="93">
        <f t="shared" ca="1" si="36"/>
        <v>1.3318029218076677</v>
      </c>
      <c r="AG18" s="292">
        <f t="shared" ca="1" si="37"/>
        <v>0.08</v>
      </c>
      <c r="AH18" s="292">
        <f t="shared" ca="1" si="38"/>
        <v>4.8000000000000001E-2</v>
      </c>
      <c r="AI18" s="292">
        <f t="shared" ca="1" si="39"/>
        <v>2.7E-2</v>
      </c>
      <c r="AJ18" s="292">
        <f t="shared" ca="1" si="40"/>
        <v>12</v>
      </c>
      <c r="AK18" s="293" t="b">
        <f t="shared" ca="1" si="41"/>
        <v>1</v>
      </c>
      <c r="AL18" s="293" t="b">
        <f t="shared" ca="1" si="42"/>
        <v>1</v>
      </c>
      <c r="AM18" s="293" t="b">
        <f t="shared" ca="1" si="43"/>
        <v>1</v>
      </c>
      <c r="AN18" s="294" t="str">
        <f t="shared" ref="AN18:AN23" ca="1" si="51">IF($O18&lt;=$N$17,IF(AK18,"D",IF(AL18,"C1",IF(AM18,"B1","НЕТ"))),"---")</f>
        <v>D</v>
      </c>
      <c r="AO18" s="294" t="b">
        <f t="shared" ref="AO18:AO26" ca="1" si="52">IF($O18&lt;=$N$17,AND(AE18&lt;$M$18,NOT(AN18="НЕТ"),IF($E$26="Экономный",T18&lt;=3,IF(AND($E$26="Оптимальный",T18&gt;$E$51),T18&lt;=1.8,IF(AND($E$26="Затратный",T18&gt;$E$51),T18&lt;=1,T18&lt;=3)))),"---")</f>
        <v>0</v>
      </c>
      <c r="AP18" s="294" t="b">
        <f t="shared" ref="AP18:AP26" ca="1" si="53">IF($O18&lt;=$N$17,AND(AF18&lt;$M$18,NOT(AN18="НЕТ"),IF($E$26="Экономный",T18&lt;=3,IF(AND($E$26="Оптимальный",T18&gt;$E$51),T18&lt;=1.8,IF(AND($E$26="Затратный",T18&gt;$E$51),T18&lt;=1,T18&lt;=3)))),"---")</f>
        <v>0</v>
      </c>
      <c r="AQ18" s="299" t="s">
        <v>18</v>
      </c>
      <c r="AR18" s="300">
        <f ca="1">OFFSET(T17,IF(ISERROR(AO15),IF(ISERROR(AP15),"НЕТ",AP15),AO15)-1,0,1)</f>
        <v>1.9696337201995076</v>
      </c>
      <c r="AS18" s="41"/>
      <c r="AU18" s="41"/>
      <c r="AV18" s="41"/>
      <c r="AW18" s="41"/>
      <c r="AX18" s="41"/>
      <c r="AY18" s="41"/>
      <c r="AZ18" s="41"/>
      <c r="BA18" s="41"/>
      <c r="BB18" s="41"/>
    </row>
    <row r="19" spans="2:54" ht="18" customHeight="1" x14ac:dyDescent="0.3">
      <c r="L19" s="302" t="s">
        <v>410</v>
      </c>
      <c r="M19" s="303">
        <f>$E$33</f>
        <v>50</v>
      </c>
      <c r="N19" s="88"/>
      <c r="O19" s="88">
        <v>3</v>
      </c>
      <c r="P19" s="93" t="str">
        <f t="shared" ca="1" si="27"/>
        <v>25-50</v>
      </c>
      <c r="Q19" s="93" t="str">
        <f t="shared" ca="1" si="28"/>
        <v>ПРЭМ-25</v>
      </c>
      <c r="R19" s="93">
        <f t="shared" ca="1" si="29"/>
        <v>25</v>
      </c>
      <c r="S19" s="93" t="str">
        <f t="shared" ca="1" si="44"/>
        <v>39,3</v>
      </c>
      <c r="T19" s="93">
        <f t="shared" ca="1" si="45"/>
        <v>3.2270478871748733</v>
      </c>
      <c r="U19" s="289">
        <f t="shared" ca="1" si="46"/>
        <v>201323.3709275572</v>
      </c>
      <c r="V19" s="289">
        <f t="shared" ca="1" si="47"/>
        <v>4.8560427292756572E-2</v>
      </c>
      <c r="W19" s="93">
        <f t="shared" ca="1" si="48"/>
        <v>1.6922755912707779E-2</v>
      </c>
      <c r="X19" s="93">
        <f t="shared" ca="1" si="49"/>
        <v>0.49683315067415684</v>
      </c>
      <c r="Y19" s="93">
        <f t="shared" ca="1" si="50"/>
        <v>1.6922755912707779E-2</v>
      </c>
      <c r="Z19" s="290">
        <f t="shared" ca="1" si="30"/>
        <v>0</v>
      </c>
      <c r="AA19" s="290">
        <f t="shared" ca="1" si="31"/>
        <v>0</v>
      </c>
      <c r="AB19" s="93">
        <f t="shared" ca="1" si="32"/>
        <v>0.38477081352747211</v>
      </c>
      <c r="AC19" s="291">
        <f t="shared" ca="1" si="33"/>
        <v>0</v>
      </c>
      <c r="AD19" s="93">
        <f t="shared" ca="1" si="34"/>
        <v>0</v>
      </c>
      <c r="AE19" s="93">
        <f t="shared" ca="1" si="35"/>
        <v>0.38477081352747211</v>
      </c>
      <c r="AF19" s="93">
        <f t="shared" ca="1" si="36"/>
        <v>0.38477081352747211</v>
      </c>
      <c r="AG19" s="292">
        <f t="shared" ca="1" si="37"/>
        <v>0.12</v>
      </c>
      <c r="AH19" s="292">
        <f t="shared" ca="1" si="38"/>
        <v>7.1999999999999995E-2</v>
      </c>
      <c r="AI19" s="292">
        <f t="shared" ca="1" si="39"/>
        <v>0.04</v>
      </c>
      <c r="AJ19" s="292">
        <f t="shared" ca="1" si="40"/>
        <v>18</v>
      </c>
      <c r="AK19" s="293" t="b">
        <f t="shared" ca="1" si="41"/>
        <v>1</v>
      </c>
      <c r="AL19" s="293" t="b">
        <f t="shared" ca="1" si="42"/>
        <v>1</v>
      </c>
      <c r="AM19" s="293" t="b">
        <f t="shared" ca="1" si="43"/>
        <v>1</v>
      </c>
      <c r="AN19" s="294" t="str">
        <f t="shared" ca="1" si="51"/>
        <v>D</v>
      </c>
      <c r="AO19" s="294" t="b">
        <f t="shared" ca="1" si="52"/>
        <v>0</v>
      </c>
      <c r="AP19" s="294" t="b">
        <f t="shared" ca="1" si="53"/>
        <v>0</v>
      </c>
      <c r="AQ19" s="65" t="s">
        <v>22</v>
      </c>
      <c r="AR19" s="300">
        <f ca="1">IF(ISERROR(AO15),IF(ISERROR(AP15),"НЕТ",OFFSET(AF17,AP15-1,0,1)),OFFSET(AE17,AO15-1,0,1))</f>
        <v>8.2717663613345177E-2</v>
      </c>
      <c r="AS19" s="41"/>
      <c r="AU19" s="41"/>
      <c r="AV19" s="41"/>
      <c r="AW19" s="41"/>
      <c r="AX19" s="41"/>
      <c r="AY19" s="41"/>
      <c r="AZ19" s="41"/>
      <c r="BA19" s="41"/>
      <c r="BB19" s="41"/>
    </row>
    <row r="20" spans="2:54" ht="18" customHeight="1" x14ac:dyDescent="0.3">
      <c r="L20" s="305" t="s">
        <v>71</v>
      </c>
      <c r="M20" s="306">
        <f>E48</f>
        <v>5.7026643385112132</v>
      </c>
      <c r="N20" s="88"/>
      <c r="O20" s="88">
        <v>4</v>
      </c>
      <c r="P20" s="93" t="str">
        <f t="shared" ca="1" si="27"/>
        <v>32-50</v>
      </c>
      <c r="Q20" s="93" t="str">
        <f t="shared" ca="1" si="28"/>
        <v>ПРЭМ-32</v>
      </c>
      <c r="R20" s="93">
        <f t="shared" ca="1" si="29"/>
        <v>32</v>
      </c>
      <c r="S20" s="93" t="str">
        <f t="shared" ca="1" si="44"/>
        <v>28,84</v>
      </c>
      <c r="T20" s="93">
        <f t="shared" ca="1" si="45"/>
        <v>1.9696337201995076</v>
      </c>
      <c r="U20" s="289">
        <f t="shared" ca="1" si="46"/>
        <v>157283.88353715406</v>
      </c>
      <c r="V20" s="289">
        <f t="shared" ca="1" si="47"/>
        <v>4.4277322004702871E-2</v>
      </c>
      <c r="W20" s="93">
        <f t="shared" ca="1" si="48"/>
        <v>1.8496325863946641E-2</v>
      </c>
      <c r="X20" s="93">
        <f t="shared" ca="1" si="49"/>
        <v>0.20423510163470199</v>
      </c>
      <c r="Y20" s="93">
        <f t="shared" ca="1" si="50"/>
        <v>1.8496325863946641E-2</v>
      </c>
      <c r="Z20" s="290">
        <f t="shared" ca="1" si="30"/>
        <v>0</v>
      </c>
      <c r="AA20" s="290">
        <f t="shared" ca="1" si="31"/>
        <v>0</v>
      </c>
      <c r="AB20" s="93">
        <f t="shared" ca="1" si="32"/>
        <v>8.2717663613345177E-2</v>
      </c>
      <c r="AC20" s="291">
        <f t="shared" ca="1" si="33"/>
        <v>0</v>
      </c>
      <c r="AD20" s="93">
        <f t="shared" ca="1" si="34"/>
        <v>0</v>
      </c>
      <c r="AE20" s="93">
        <f t="shared" ca="1" si="35"/>
        <v>8.2717663613345177E-2</v>
      </c>
      <c r="AF20" s="93">
        <f t="shared" ca="1" si="36"/>
        <v>8.2717663613345177E-2</v>
      </c>
      <c r="AG20" s="292">
        <f t="shared" ca="1" si="37"/>
        <v>0.2</v>
      </c>
      <c r="AH20" s="292">
        <f t="shared" ca="1" si="38"/>
        <v>0.12</v>
      </c>
      <c r="AI20" s="292">
        <f t="shared" ca="1" si="39"/>
        <v>6.7000000000000004E-2</v>
      </c>
      <c r="AJ20" s="292">
        <f t="shared" ca="1" si="40"/>
        <v>30</v>
      </c>
      <c r="AK20" s="293" t="b">
        <f t="shared" ca="1" si="41"/>
        <v>1</v>
      </c>
      <c r="AL20" s="293" t="b">
        <f t="shared" ca="1" si="42"/>
        <v>1</v>
      </c>
      <c r="AM20" s="293" t="b">
        <f t="shared" ca="1" si="43"/>
        <v>1</v>
      </c>
      <c r="AN20" s="294" t="str">
        <f t="shared" ca="1" si="51"/>
        <v>D</v>
      </c>
      <c r="AO20" s="294" t="b">
        <f t="shared" ca="1" si="52"/>
        <v>1</v>
      </c>
      <c r="AP20" s="294" t="b">
        <f t="shared" ca="1" si="53"/>
        <v>1</v>
      </c>
      <c r="AQ20" s="307"/>
      <c r="AR20" s="308"/>
      <c r="AS20" s="41"/>
      <c r="AU20" s="41"/>
      <c r="AV20" s="41"/>
      <c r="AW20" s="41"/>
      <c r="AX20" s="41"/>
      <c r="AY20" s="41"/>
      <c r="AZ20" s="41"/>
      <c r="BA20" s="41"/>
      <c r="BB20" s="41"/>
    </row>
    <row r="21" spans="2:54" ht="18" customHeight="1" x14ac:dyDescent="0.3">
      <c r="L21" s="305" t="s">
        <v>72</v>
      </c>
      <c r="M21" s="306">
        <f>E49</f>
        <v>1.4040352888610368</v>
      </c>
      <c r="N21" s="88"/>
      <c r="O21" s="88">
        <v>5</v>
      </c>
      <c r="P21" s="93" t="str">
        <f t="shared" ca="1" si="27"/>
        <v>40-50</v>
      </c>
      <c r="Q21" s="93" t="str">
        <f t="shared" ca="1" si="28"/>
        <v>ПРЭМ-40</v>
      </c>
      <c r="R21" s="93">
        <f t="shared" ca="1" si="29"/>
        <v>40</v>
      </c>
      <c r="S21" s="93" t="str">
        <f t="shared" ca="1" si="44"/>
        <v>11,42</v>
      </c>
      <c r="T21" s="93">
        <f t="shared" ca="1" si="45"/>
        <v>1.2605655809276848</v>
      </c>
      <c r="U21" s="289">
        <f t="shared" ca="1" si="46"/>
        <v>125827.10682972323</v>
      </c>
      <c r="V21" s="289">
        <f t="shared" ca="1" si="47"/>
        <v>4.0875226338606262E-2</v>
      </c>
      <c r="W21" s="93">
        <f t="shared" ca="1" si="48"/>
        <v>3.0319510161434582E-2</v>
      </c>
      <c r="X21" s="93">
        <f t="shared" ca="1" si="49"/>
        <v>2.3318371452135389E-2</v>
      </c>
      <c r="Y21" s="93">
        <f t="shared" ca="1" si="50"/>
        <v>3.0319510161434582E-2</v>
      </c>
      <c r="Z21" s="290">
        <f t="shared" ca="1" si="30"/>
        <v>0</v>
      </c>
      <c r="AA21" s="290">
        <f t="shared" ca="1" si="31"/>
        <v>0</v>
      </c>
      <c r="AB21" s="93">
        <f t="shared" ca="1" si="32"/>
        <v>2.00416699830318E-2</v>
      </c>
      <c r="AC21" s="291">
        <f t="shared" ca="1" si="33"/>
        <v>0</v>
      </c>
      <c r="AD21" s="93">
        <f t="shared" ca="1" si="34"/>
        <v>0</v>
      </c>
      <c r="AE21" s="93">
        <f t="shared" ca="1" si="35"/>
        <v>2.00416699830318E-2</v>
      </c>
      <c r="AF21" s="93">
        <f t="shared" ca="1" si="36"/>
        <v>2.00416699830318E-2</v>
      </c>
      <c r="AG21" s="292">
        <f t="shared" ca="1" si="37"/>
        <v>0.3</v>
      </c>
      <c r="AH21" s="292">
        <f t="shared" ca="1" si="38"/>
        <v>0.18</v>
      </c>
      <c r="AI21" s="292">
        <f t="shared" ca="1" si="39"/>
        <v>0.1</v>
      </c>
      <c r="AJ21" s="292">
        <f t="shared" ca="1" si="40"/>
        <v>45</v>
      </c>
      <c r="AK21" s="293" t="b">
        <f t="shared" ca="1" si="41"/>
        <v>1</v>
      </c>
      <c r="AL21" s="293" t="b">
        <f t="shared" ca="1" si="42"/>
        <v>1</v>
      </c>
      <c r="AM21" s="293" t="b">
        <f t="shared" ca="1" si="43"/>
        <v>1</v>
      </c>
      <c r="AN21" s="294" t="str">
        <f t="shared" ca="1" si="51"/>
        <v>D</v>
      </c>
      <c r="AO21" s="294" t="b">
        <f t="shared" ca="1" si="52"/>
        <v>1</v>
      </c>
      <c r="AP21" s="294" t="b">
        <f t="shared" ca="1" si="53"/>
        <v>1</v>
      </c>
      <c r="AQ21" s="311"/>
      <c r="AR21" s="312"/>
      <c r="AS21" s="41"/>
      <c r="AT21" s="259"/>
      <c r="AU21" s="41"/>
      <c r="AV21" s="41"/>
      <c r="AW21" s="41"/>
      <c r="AX21" s="41"/>
      <c r="AY21" s="41"/>
      <c r="AZ21" s="41"/>
      <c r="BA21" s="41"/>
      <c r="BB21" s="41"/>
    </row>
    <row r="22" spans="2:54" ht="18" customHeight="1" x14ac:dyDescent="0.3">
      <c r="L22" s="305" t="s">
        <v>73</v>
      </c>
      <c r="M22" s="315">
        <f>E61</f>
        <v>4.0072941759157111E-7</v>
      </c>
      <c r="N22" s="88"/>
      <c r="O22" s="88">
        <v>6</v>
      </c>
      <c r="P22" s="93" t="str">
        <f t="shared" ca="1" si="27"/>
        <v>50-50</v>
      </c>
      <c r="Q22" s="93" t="str">
        <f t="shared" ca="1" si="28"/>
        <v>ПРЭМ-50</v>
      </c>
      <c r="R22" s="93">
        <f t="shared" ca="1" si="29"/>
        <v>50</v>
      </c>
      <c r="S22" s="93">
        <f t="shared" ca="1" si="44"/>
        <v>0</v>
      </c>
      <c r="T22" s="93">
        <f t="shared" ca="1" si="45"/>
        <v>0.80676197179371834</v>
      </c>
      <c r="U22" s="289">
        <f t="shared" ca="1" si="46"/>
        <v>100661.6854637786</v>
      </c>
      <c r="V22" s="289">
        <f t="shared" ca="1" si="47"/>
        <v>3.7850686611455138E-2</v>
      </c>
      <c r="W22" s="93">
        <f t="shared" ca="1" si="48"/>
        <v>0</v>
      </c>
      <c r="X22" s="93">
        <f t="shared" ca="1" si="49"/>
        <v>0</v>
      </c>
      <c r="Y22" s="93">
        <f t="shared" ca="1" si="50"/>
        <v>0</v>
      </c>
      <c r="Z22" s="290">
        <f t="shared" ca="1" si="30"/>
        <v>0</v>
      </c>
      <c r="AA22" s="290">
        <f t="shared" ca="1" si="31"/>
        <v>0</v>
      </c>
      <c r="AB22" s="93">
        <f t="shared" ca="1" si="32"/>
        <v>5.0225652530981532E-3</v>
      </c>
      <c r="AC22" s="291">
        <f t="shared" ca="1" si="33"/>
        <v>0</v>
      </c>
      <c r="AD22" s="93">
        <f t="shared" ca="1" si="34"/>
        <v>0</v>
      </c>
      <c r="AE22" s="93">
        <f t="shared" ca="1" si="35"/>
        <v>5.0225652530981532E-3</v>
      </c>
      <c r="AF22" s="93">
        <f t="shared" ca="1" si="36"/>
        <v>5.0225652530981532E-3</v>
      </c>
      <c r="AG22" s="292">
        <f t="shared" ca="1" si="37"/>
        <v>0.48</v>
      </c>
      <c r="AH22" s="292">
        <f t="shared" ca="1" si="38"/>
        <v>0.28799999999999998</v>
      </c>
      <c r="AI22" s="292">
        <f t="shared" ca="1" si="39"/>
        <v>0.16</v>
      </c>
      <c r="AJ22" s="292">
        <f t="shared" ca="1" si="40"/>
        <v>72</v>
      </c>
      <c r="AK22" s="293" t="b">
        <f t="shared" ca="1" si="41"/>
        <v>1</v>
      </c>
      <c r="AL22" s="293" t="b">
        <f t="shared" ca="1" si="42"/>
        <v>1</v>
      </c>
      <c r="AM22" s="293" t="b">
        <f t="shared" ca="1" si="43"/>
        <v>1</v>
      </c>
      <c r="AN22" s="294" t="str">
        <f t="shared" ca="1" si="51"/>
        <v>D</v>
      </c>
      <c r="AO22" s="294" t="b">
        <f t="shared" ca="1" si="52"/>
        <v>1</v>
      </c>
      <c r="AP22" s="294" t="b">
        <f t="shared" ca="1" si="53"/>
        <v>1</v>
      </c>
      <c r="AQ22" s="91"/>
      <c r="AS22" s="41"/>
      <c r="AT22" s="259"/>
      <c r="AU22" s="258"/>
      <c r="AV22" s="349"/>
      <c r="AW22" s="349"/>
      <c r="AX22" s="258"/>
      <c r="AY22" s="258"/>
      <c r="AZ22" s="258"/>
      <c r="BA22" s="258"/>
      <c r="BB22" s="349"/>
    </row>
    <row r="23" spans="2:54" ht="18" customHeight="1" thickBot="1" x14ac:dyDescent="0.35">
      <c r="L23" s="318" t="s">
        <v>102</v>
      </c>
      <c r="M23" s="319">
        <f>(M20/3.6)/((PI()*M19^2)/4000)</f>
        <v>0.80676197179371834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44"/>
        <v>---</v>
      </c>
      <c r="T23" s="93" t="str">
        <f t="shared" ca="1" si="45"/>
        <v>---</v>
      </c>
      <c r="U23" s="289" t="str">
        <f t="shared" ca="1" si="46"/>
        <v>---</v>
      </c>
      <c r="V23" s="289" t="str">
        <f t="shared" ca="1" si="47"/>
        <v>---</v>
      </c>
      <c r="W23" s="93" t="str">
        <f t="shared" ca="1" si="48"/>
        <v>---</v>
      </c>
      <c r="X23" s="93" t="str">
        <f t="shared" ca="1" si="49"/>
        <v>---</v>
      </c>
      <c r="Y23" s="93" t="str">
        <f t="shared" ca="1" si="50"/>
        <v>---</v>
      </c>
      <c r="Z23" s="290" t="str">
        <f t="shared" ca="1" si="30"/>
        <v>---</v>
      </c>
      <c r="AA23" s="290" t="str">
        <f t="shared" ca="1" si="31"/>
        <v>---</v>
      </c>
      <c r="AB23" s="93" t="str">
        <f t="shared" ca="1" si="32"/>
        <v>--</v>
      </c>
      <c r="AC23" s="291" t="str">
        <f t="shared" ca="1" si="33"/>
        <v>--</v>
      </c>
      <c r="AD23" s="93" t="str">
        <f t="shared" ca="1" si="34"/>
        <v>--</v>
      </c>
      <c r="AE23" s="93" t="str">
        <f t="shared" ca="1" si="35"/>
        <v>---</v>
      </c>
      <c r="AF23" s="93" t="str">
        <f t="shared" ca="1" si="36"/>
        <v>---</v>
      </c>
      <c r="AG23" s="292" t="str">
        <f t="shared" ca="1" si="37"/>
        <v>---</v>
      </c>
      <c r="AH23" s="292" t="str">
        <f t="shared" ca="1" si="38"/>
        <v>---</v>
      </c>
      <c r="AI23" s="292" t="str">
        <f t="shared" ca="1" si="39"/>
        <v>---</v>
      </c>
      <c r="AJ23" s="292" t="str">
        <f t="shared" ca="1" si="40"/>
        <v>---</v>
      </c>
      <c r="AK23" s="293" t="str">
        <f t="shared" ca="1" si="41"/>
        <v>---</v>
      </c>
      <c r="AL23" s="293" t="str">
        <f t="shared" ca="1" si="42"/>
        <v>---</v>
      </c>
      <c r="AM23" s="293" t="str">
        <f t="shared" ca="1" si="43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41"/>
      <c r="AU23" s="18"/>
      <c r="AV23" s="18"/>
      <c r="AW23" s="18"/>
      <c r="AX23" s="18"/>
      <c r="AY23" s="18"/>
      <c r="AZ23" s="18"/>
      <c r="BA23" s="18"/>
      <c r="BB23" s="18"/>
    </row>
    <row r="24" spans="2:54" ht="18" customHeight="1" x14ac:dyDescent="0.3">
      <c r="L24" s="746"/>
      <c r="M24" s="747"/>
      <c r="O24" s="88">
        <v>8</v>
      </c>
      <c r="P24" s="93" t="str">
        <f ca="1">IF(O24&lt;=$N$17,OFFSET(DyTr_New,$P$15-2+O24,4,1),"---")</f>
        <v>---</v>
      </c>
      <c r="Q24" s="93" t="str">
        <f ca="1">IF(O24&lt;=$N$17,OFFSET(DyTr_New,$P$15-2+O24,2,1),"---")</f>
        <v>---</v>
      </c>
      <c r="R24" s="93" t="str">
        <f ca="1">IF(O24&lt;=$N$17,OFFSET(DyTr_New,$P$15-2+O24,5,1),"---")</f>
        <v>---</v>
      </c>
      <c r="S24" s="93" t="str">
        <f ca="1">IF(O24&lt;=$N$17,OFFSET(DyTr_New,$P$15-2+O24,6,1),"---")</f>
        <v>---</v>
      </c>
      <c r="T24" s="93" t="str">
        <f ca="1">IF(O24&lt;=$N$17,($M$20/3.6)/((PI()*R24^2)/4000),"---")</f>
        <v>---</v>
      </c>
      <c r="U24" s="289" t="str">
        <f ca="1">IF(O24&lt;=$N$17,(T24*R24/$M$22/1000),"---")</f>
        <v>---</v>
      </c>
      <c r="V24" s="289" t="str">
        <f ca="1">IF(O24&lt;=$N$17,(1/(1.14+2*LOG((R24/$M$17),10))^2),"---")</f>
        <v>---</v>
      </c>
      <c r="W24" s="93" t="str">
        <f ca="1">IF(O24&lt;=$N$17,(IF(S24=0,0,(V24/(8*SIN(RADIANS(S24/2))))*(1-(R24/$M$19)^4))),"---")</f>
        <v>---</v>
      </c>
      <c r="X24" s="93" t="str">
        <f ca="1">IF(O24&lt;=$N$17,(3.2*TAN(RADIANS(S24/2))^1.25*(1-(R24/$M$19)^2)^2),"---")</f>
        <v>---</v>
      </c>
      <c r="Y24" s="93" t="str">
        <f ca="1">IF(O24&lt;=$N$17,(IF(S24=0,0,V24/(8*SIN(RADIANS(S24/2)))*(1-(R24/$M$19)^4))),"---")</f>
        <v>---</v>
      </c>
      <c r="Z24" s="290" t="str">
        <f ca="1">IF(O24&lt;=$N$17,VLOOKUP(Q24&amp;"-Сэндвич",TypePFlow,3,FALSE),"---")</f>
        <v>---</v>
      </c>
      <c r="AA24" s="290" t="str">
        <f ca="1">IF(O24&lt;=$N$17,VLOOKUP(Q24&amp;"-Фланец",TypePFlow,3,FALSE),"---")</f>
        <v>---</v>
      </c>
      <c r="AB24" s="93" t="str">
        <f ca="1">IF(O24&lt;=$N$17,(V24*4+W24+X24+Y24)*T24^2/(2*9.81),"--")</f>
        <v>--</v>
      </c>
      <c r="AC24" s="291" t="str">
        <f ca="1">IF(O24&lt;=$N$17,(Z24*$M$20^2),"--")</f>
        <v>--</v>
      </c>
      <c r="AD24" s="93" t="str">
        <f ca="1">IF(O24&lt;=$N$17,(AA24*$M$20^2),"--")</f>
        <v>--</v>
      </c>
      <c r="AE24" s="93" t="str">
        <f ca="1">IF(O24&lt;=$N$17,(AB24+AC24),"---")</f>
        <v>---</v>
      </c>
      <c r="AF24" s="93" t="str">
        <f ca="1">IF(O24&lt;=$N$17,(AB24+AD24),"---")</f>
        <v>---</v>
      </c>
      <c r="AG24" s="292" t="str">
        <f ca="1">IF(O24&lt;=$N$17,VLOOKUP(Q24&amp;"-D",ParamPiterflow,2,FALSE),"---")</f>
        <v>---</v>
      </c>
      <c r="AH24" s="292" t="str">
        <f ca="1">IF(O24&lt;=$N$17,VLOOKUP(Q24&amp;"-C1",ParamPiterflow,2,FALSE),"---")</f>
        <v>---</v>
      </c>
      <c r="AI24" s="292" t="str">
        <f ca="1">IF(O24&lt;=$N$17,VLOOKUP(Q24&amp;"-B1",ParamPiterflow,2,FALSE),"---")</f>
        <v>---</v>
      </c>
      <c r="AJ24" s="292" t="str">
        <f ca="1">IF(O24&lt;=$N$17,VLOOKUP(Q24&amp;"-D",ParamPiterflow,4,FALSE),"---")</f>
        <v>---</v>
      </c>
      <c r="AK24" s="293" t="str">
        <f t="shared" ref="AK24:AM26" ca="1" si="54">IF($O24&lt;=$N$17,AND(AG24&lt;$M$21,$AJ24&gt;$M$20),"---")</f>
        <v>---</v>
      </c>
      <c r="AL24" s="293" t="str">
        <f t="shared" ca="1" si="54"/>
        <v>---</v>
      </c>
      <c r="AM24" s="293" t="str">
        <f t="shared" ca="1" si="54"/>
        <v>---</v>
      </c>
      <c r="AN24" s="294" t="str">
        <f ca="1">IF($O24&lt;=$N$17,IF(AK24,"D",IF(AL24,"C1",IF(AM24,"B1","НЕТ"))),"---")</f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41"/>
      <c r="AU24" s="18"/>
      <c r="AV24" s="18"/>
      <c r="AW24" s="18"/>
      <c r="AX24" s="18"/>
      <c r="AY24" s="18"/>
      <c r="AZ24" s="18"/>
      <c r="BA24" s="18"/>
      <c r="BB24" s="18"/>
    </row>
    <row r="25" spans="2:54" ht="18" customHeight="1" thickBot="1" x14ac:dyDescent="0.35">
      <c r="O25" s="88">
        <v>9</v>
      </c>
      <c r="P25" s="93" t="str">
        <f ca="1">IF(O25&lt;=$N$17,OFFSET(DyTr_New,$P$15-2+O25,4,1),"---")</f>
        <v>---</v>
      </c>
      <c r="Q25" s="93" t="str">
        <f ca="1">IF(O25&lt;=$N$17,OFFSET(DyTr_New,$P$15-2+O25,2,1),"---")</f>
        <v>---</v>
      </c>
      <c r="R25" s="93" t="str">
        <f ca="1">IF(O25&lt;=$N$17,OFFSET(DyTr_New,$P$15-2+O25,5,1),"---")</f>
        <v>---</v>
      </c>
      <c r="S25" s="93" t="str">
        <f ca="1">IF(O25&lt;=$N$17,OFFSET(DyTr_New,$P$15-2+O25,6,1),"---")</f>
        <v>---</v>
      </c>
      <c r="T25" s="93" t="str">
        <f ca="1">IF(O25&lt;=$N$17,($M$20/3.6)/((PI()*R25^2)/4000),"---")</f>
        <v>---</v>
      </c>
      <c r="U25" s="289" t="str">
        <f ca="1">IF(O25&lt;=$N$17,(T25*R25/$M$22/1000),"---")</f>
        <v>---</v>
      </c>
      <c r="V25" s="289" t="str">
        <f ca="1">IF(O25&lt;=$N$4,(1/(1.14+2*LOG((R25/$M$4),10))^2),"---")</f>
        <v>---</v>
      </c>
      <c r="W25" s="93" t="str">
        <f ca="1">IF(O25&lt;=$N$17,(IF(S25=0,0,(V25/(8*SIN(RADIANS(S25/2))))*(1-(R25/$M$19)^4))),"---")</f>
        <v>---</v>
      </c>
      <c r="X25" s="93" t="str">
        <f ca="1">IF(O25&lt;=$N$17,(3.2*TAN(RADIANS(S25/2))^1.25*(1-(R25/$M$19)^2)^2),"---")</f>
        <v>---</v>
      </c>
      <c r="Y25" s="93" t="str">
        <f ca="1">IF(O25&lt;=$N$17,(IF(S25=0,0,V25/(8*SIN(RADIANS(S25/2)))*(1-(R25/$M$19)^4))),"---")</f>
        <v>---</v>
      </c>
      <c r="Z25" s="290" t="str">
        <f ca="1">IF(O25&lt;=$N$17,VLOOKUP(Q25&amp;"-Сэндвич",TypePFlow,3,FALSE),"---")</f>
        <v>---</v>
      </c>
      <c r="AA25" s="290" t="str">
        <f ca="1">IF(O25&lt;=$N$17,VLOOKUP(Q25&amp;"-Фланец",TypePFlow,3,FALSE),"---")</f>
        <v>---</v>
      </c>
      <c r="AB25" s="93" t="str">
        <f ca="1">IF(O25&lt;=$N$17,(V25*4+W25+X25+Y25)*T25^2/(2*9.81),"--")</f>
        <v>--</v>
      </c>
      <c r="AC25" s="291" t="str">
        <f ca="1">IF(O25&lt;=$N$17,(Z25*$M$20^2),"--")</f>
        <v>--</v>
      </c>
      <c r="AD25" s="93" t="str">
        <f ca="1">IF(O25&lt;=$N$17,(AA25*$M$20^2),"--")</f>
        <v>--</v>
      </c>
      <c r="AE25" s="93" t="str">
        <f ca="1">IF(O25&lt;=$N$17,(AB25+AC25),"---")</f>
        <v>---</v>
      </c>
      <c r="AF25" s="93" t="str">
        <f ca="1">IF(O25&lt;=$N$17,(AB25+AD25),"---")</f>
        <v>---</v>
      </c>
      <c r="AG25" s="292" t="str">
        <f ca="1">IF(O25&lt;=$N$17,VLOOKUP(Q25&amp;"-D",ParamPiterflow,2,FALSE),"---")</f>
        <v>---</v>
      </c>
      <c r="AH25" s="292" t="str">
        <f ca="1">IF(O25&lt;=$N$17,VLOOKUP(Q25&amp;"-C1",ParamPiterflow,2,FALSE),"---")</f>
        <v>---</v>
      </c>
      <c r="AI25" s="292" t="str">
        <f ca="1">IF(O25&lt;=$N$17,VLOOKUP(Q25&amp;"-B1",ParamPiterflow,2,FALSE),"---")</f>
        <v>---</v>
      </c>
      <c r="AJ25" s="292" t="str">
        <f ca="1">IF(O25&lt;=$N$17,VLOOKUP(Q25&amp;"-D",ParamPiterflow,4,FALSE),"---")</f>
        <v>---</v>
      </c>
      <c r="AK25" s="293" t="str">
        <f t="shared" ca="1" si="54"/>
        <v>---</v>
      </c>
      <c r="AL25" s="293" t="str">
        <f t="shared" ca="1" si="54"/>
        <v>---</v>
      </c>
      <c r="AM25" s="293" t="str">
        <f t="shared" ca="1" si="54"/>
        <v>---</v>
      </c>
      <c r="AN25" s="294" t="str">
        <f ca="1">IF($O25&lt;=$N$17,IF(AK25,"D",IF(AL25,"C1",IF(AM25,"B1","НЕТ"))),"---")</f>
        <v>---</v>
      </c>
      <c r="AO25" s="294" t="str">
        <f t="shared" ca="1" si="52"/>
        <v>---</v>
      </c>
      <c r="AP25" s="294" t="str">
        <f t="shared" ca="1" si="53"/>
        <v>---</v>
      </c>
      <c r="AS25" s="41"/>
      <c r="AT25" s="41"/>
      <c r="AU25" s="37"/>
      <c r="AV25" s="37"/>
      <c r="AW25" s="37"/>
      <c r="AX25" s="37"/>
      <c r="AY25" s="37"/>
      <c r="AZ25" s="37"/>
      <c r="BA25" s="37"/>
      <c r="BB25" s="37"/>
    </row>
    <row r="26" spans="2:54" ht="25" customHeight="1" thickBot="1" x14ac:dyDescent="0.35">
      <c r="B26" s="800" t="s">
        <v>447</v>
      </c>
      <c r="C26" s="801"/>
      <c r="D26" s="834"/>
      <c r="E26" s="835" t="s">
        <v>449</v>
      </c>
      <c r="F26" s="836"/>
      <c r="G26" s="837"/>
      <c r="O26" s="88">
        <v>10</v>
      </c>
      <c r="P26" s="93" t="str">
        <f ca="1">IF(O26&lt;=$N$17,OFFSET(DyTr_New,$P$15-2+O26,4,1),"---")</f>
        <v>---</v>
      </c>
      <c r="Q26" s="93" t="str">
        <f ca="1">IF(O26&lt;=$N$17,OFFSET(DyTr_New,$P$15-2+O26,2,1),"---")</f>
        <v>---</v>
      </c>
      <c r="R26" s="93" t="str">
        <f ca="1">IF(O26&lt;=$N$17,OFFSET(DyTr_New,$P$15-2+O26,5,1),"---")</f>
        <v>---</v>
      </c>
      <c r="S26" s="93" t="str">
        <f ca="1">IF(O26&lt;=$N$17,OFFSET(DyTr_New,$P$15-2+O26,6,1),"---")</f>
        <v>---</v>
      </c>
      <c r="T26" s="93" t="str">
        <f ca="1">IF(O26&lt;=$N$17,($M$20/3.6)/((PI()*R26^2)/4000),"---")</f>
        <v>---</v>
      </c>
      <c r="U26" s="289" t="str">
        <f ca="1">IF(O26&lt;=$N$17,(T26*R26/$M$22/1000),"---")</f>
        <v>---</v>
      </c>
      <c r="V26" s="289" t="str">
        <f ca="1">IF(O26&lt;=$N$4,(1/(1.14+2*LOG((R26/$M$4),10))^2),"---")</f>
        <v>---</v>
      </c>
      <c r="W26" s="93" t="str">
        <f ca="1">IF(O26&lt;=$N$17,(IF(S26=0,0,(V26/(8*SIN(RADIANS(S26/2))))*(1-(R26/$M$19)^4))),"---")</f>
        <v>---</v>
      </c>
      <c r="X26" s="93" t="str">
        <f ca="1">IF(O26&lt;=$N$17,(3.2*TAN(RADIANS(S26/2))^1.25*(1-(R26/$M$19)^2)^2),"---")</f>
        <v>---</v>
      </c>
      <c r="Y26" s="93" t="str">
        <f ca="1">IF(O26&lt;=$N$17,(IF(S26=0,0,V26/(8*SIN(RADIANS(S26/2)))*(1-(R26/$M$19)^4))),"---")</f>
        <v>---</v>
      </c>
      <c r="Z26" s="290" t="str">
        <f ca="1">IF(O26&lt;=$N$17,VLOOKUP(Q26&amp;"-Сэндвич",TypePFlow,3,FALSE),"---")</f>
        <v>---</v>
      </c>
      <c r="AA26" s="290" t="str">
        <f ca="1">IF(O26&lt;=$N$17,VLOOKUP(Q26&amp;"-Фланец",TypePFlow,3,FALSE),"---")</f>
        <v>---</v>
      </c>
      <c r="AB26" s="93" t="str">
        <f ca="1">IF(O26&lt;=$N$17,(V26*4+W26+X26+Y26)*T26^2/(2*9.81),"--")</f>
        <v>--</v>
      </c>
      <c r="AC26" s="291" t="str">
        <f ca="1">IF(O26&lt;=$N$17,(Z26*$M$20^2),"--")</f>
        <v>--</v>
      </c>
      <c r="AD26" s="93" t="str">
        <f ca="1">IF(O26&lt;=$N$17,(AA26*$M$20^2),"--")</f>
        <v>--</v>
      </c>
      <c r="AE26" s="93" t="str">
        <f ca="1">IF(O26&lt;=$N$17,(AB26+AC26),"---")</f>
        <v>---</v>
      </c>
      <c r="AF26" s="93" t="str">
        <f ca="1">IF(O26&lt;=$N$17,(AB26+AD26),"---")</f>
        <v>---</v>
      </c>
      <c r="AG26" s="292" t="str">
        <f ca="1">IF(O26&lt;=$N$17,VLOOKUP(Q26&amp;"-D",ParamPiterflow,2,FALSE),"---")</f>
        <v>---</v>
      </c>
      <c r="AH26" s="292" t="str">
        <f ca="1">IF(O26&lt;=$N$17,VLOOKUP(Q26&amp;"-C1",ParamPiterflow,2,FALSE),"---")</f>
        <v>---</v>
      </c>
      <c r="AI26" s="292" t="str">
        <f ca="1">IF(O26&lt;=$N$17,VLOOKUP(Q26&amp;"-B1",ParamPiterflow,2,FALSE),"---")</f>
        <v>---</v>
      </c>
      <c r="AJ26" s="292" t="str">
        <f ca="1">IF(O26&lt;=$N$17,VLOOKUP(Q26&amp;"-D",ParamPiterflow,4,FALSE),"---")</f>
        <v>---</v>
      </c>
      <c r="AK26" s="293" t="str">
        <f t="shared" ca="1" si="54"/>
        <v>---</v>
      </c>
      <c r="AL26" s="293" t="str">
        <f t="shared" ca="1" si="54"/>
        <v>---</v>
      </c>
      <c r="AM26" s="293" t="str">
        <f t="shared" ca="1" si="54"/>
        <v>---</v>
      </c>
      <c r="AN26" s="294" t="str">
        <f ca="1">IF($O26&lt;=$N$17,IF(AK26,"D",IF(AL26,"C1",IF(AM26,"B1","НЕТ"))),"---")</f>
        <v>---</v>
      </c>
      <c r="AO26" s="294" t="str">
        <f t="shared" ca="1" si="52"/>
        <v>---</v>
      </c>
      <c r="AP26" s="294" t="str">
        <f t="shared" ca="1" si="53"/>
        <v>---</v>
      </c>
      <c r="AT26" s="41"/>
      <c r="AU26" s="37"/>
      <c r="AV26" s="37"/>
      <c r="AW26" s="37"/>
      <c r="AX26" s="37"/>
      <c r="AY26" s="37"/>
      <c r="AZ26" s="37"/>
      <c r="BA26" s="37"/>
      <c r="BB26" s="37"/>
    </row>
    <row r="27" spans="2:54" ht="18" customHeight="1" thickBot="1" x14ac:dyDescent="0.35">
      <c r="AU27" s="7"/>
      <c r="AV27" s="7"/>
      <c r="AW27" s="7"/>
      <c r="AX27" s="7"/>
      <c r="AY27" s="7"/>
      <c r="AZ27" s="7"/>
      <c r="BA27" s="7"/>
      <c r="BB27" s="7"/>
    </row>
    <row r="28" spans="2:54" ht="25" customHeight="1" thickBot="1" x14ac:dyDescent="0.45">
      <c r="B28" s="800" t="s">
        <v>17</v>
      </c>
      <c r="C28" s="801"/>
      <c r="D28" s="801"/>
      <c r="E28" s="122"/>
      <c r="F28" s="122"/>
      <c r="G28" s="121"/>
      <c r="Z28" s="322"/>
      <c r="AA28" s="322"/>
      <c r="AN28" s="41"/>
      <c r="AO28" s="41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2:54" ht="18" customHeight="1" thickBot="1" x14ac:dyDescent="0.45">
      <c r="D29" s="811" t="s">
        <v>43</v>
      </c>
      <c r="E29" s="812"/>
      <c r="F29" s="414"/>
      <c r="G29" s="325" t="s">
        <v>42</v>
      </c>
      <c r="H29" s="8"/>
      <c r="N29" s="262"/>
      <c r="O29" s="263" t="s">
        <v>406</v>
      </c>
      <c r="P29" s="264">
        <f>MATCH(M33,DyTr_New,0)</f>
        <v>11</v>
      </c>
      <c r="Q29" s="265">
        <f ca="1">MATCH(TRUE,AO31:AO40,0)</f>
        <v>2</v>
      </c>
      <c r="R29" s="266" t="s">
        <v>103</v>
      </c>
      <c r="S29" s="267"/>
      <c r="U29" s="268">
        <f ca="1">MATCH(TRUE,AO31:AO40,0)</f>
        <v>2</v>
      </c>
      <c r="V29" s="269" t="s">
        <v>407</v>
      </c>
      <c r="W29" s="270"/>
      <c r="X29" s="270"/>
      <c r="Y29" s="270"/>
      <c r="Z29" s="838" t="s">
        <v>206</v>
      </c>
      <c r="AA29" s="838"/>
      <c r="AB29" s="258"/>
      <c r="AG29" s="826" t="s">
        <v>75</v>
      </c>
      <c r="AH29" s="826"/>
      <c r="AI29" s="826"/>
      <c r="AJ29" s="271" t="s">
        <v>66</v>
      </c>
      <c r="AK29" s="810" t="s">
        <v>65</v>
      </c>
      <c r="AL29" s="810"/>
      <c r="AM29" s="810"/>
      <c r="AN29" s="272"/>
      <c r="AO29" s="273">
        <f ca="1">MATCH(TRUE,AO31:AO40,0)</f>
        <v>2</v>
      </c>
      <c r="AP29" s="273">
        <f ca="1">MATCH(TRUE,AP31:AP40,0)</f>
        <v>2</v>
      </c>
      <c r="AQ29" s="802" t="s">
        <v>69</v>
      </c>
      <c r="AR29" s="803"/>
      <c r="AS29" s="259"/>
      <c r="AT29" s="259"/>
      <c r="AU29" s="18"/>
      <c r="AV29" s="18"/>
      <c r="AW29" s="18"/>
      <c r="AX29" s="18"/>
      <c r="AY29" s="18"/>
      <c r="AZ29" s="18"/>
      <c r="BA29" s="18"/>
      <c r="BB29" s="18"/>
    </row>
    <row r="30" spans="2:54" ht="18" customHeight="1" thickBot="1" x14ac:dyDescent="0.45">
      <c r="B30" s="839" t="s">
        <v>68</v>
      </c>
      <c r="C30" s="840"/>
      <c r="D30" s="841">
        <v>0.2</v>
      </c>
      <c r="E30" s="842"/>
      <c r="F30" s="415"/>
      <c r="G30" s="76">
        <v>0.2</v>
      </c>
      <c r="H30" s="56"/>
      <c r="L30" s="277" t="s">
        <v>77</v>
      </c>
      <c r="M30" s="278" t="s">
        <v>90</v>
      </c>
      <c r="N30" s="279" t="s">
        <v>97</v>
      </c>
      <c r="O30" s="88"/>
      <c r="P30" s="280" t="s">
        <v>93</v>
      </c>
      <c r="Q30" s="280" t="s">
        <v>92</v>
      </c>
      <c r="R30" s="280" t="s">
        <v>408</v>
      </c>
      <c r="S30" s="66" t="s">
        <v>61</v>
      </c>
      <c r="T30" s="280" t="s">
        <v>18</v>
      </c>
      <c r="U30" s="63" t="s">
        <v>20</v>
      </c>
      <c r="V30" s="62" t="s">
        <v>21</v>
      </c>
      <c r="W30" s="63" t="s">
        <v>62</v>
      </c>
      <c r="X30" s="64" t="s">
        <v>63</v>
      </c>
      <c r="Y30" s="64" t="s">
        <v>64</v>
      </c>
      <c r="Z30" s="117" t="s">
        <v>204</v>
      </c>
      <c r="AA30" s="117" t="s">
        <v>205</v>
      </c>
      <c r="AB30" s="63" t="s">
        <v>227</v>
      </c>
      <c r="AC30" s="63" t="s">
        <v>225</v>
      </c>
      <c r="AD30" s="63" t="s">
        <v>226</v>
      </c>
      <c r="AE30" s="63" t="s">
        <v>228</v>
      </c>
      <c r="AF30" s="63" t="s">
        <v>229</v>
      </c>
      <c r="AG30" s="281" t="s">
        <v>351</v>
      </c>
      <c r="AH30" s="281" t="s">
        <v>352</v>
      </c>
      <c r="AI30" s="281" t="s">
        <v>353</v>
      </c>
      <c r="AJ30" s="281"/>
      <c r="AK30" s="281" t="s">
        <v>351</v>
      </c>
      <c r="AL30" s="281" t="s">
        <v>352</v>
      </c>
      <c r="AM30" s="281" t="s">
        <v>353</v>
      </c>
      <c r="AN30" s="281" t="s">
        <v>67</v>
      </c>
      <c r="AO30" s="281" t="s">
        <v>230</v>
      </c>
      <c r="AP30" s="281" t="s">
        <v>231</v>
      </c>
      <c r="AQ30" s="282" t="s">
        <v>409</v>
      </c>
      <c r="AR30" s="283" t="str">
        <f ca="1">IF(ISERROR(AO29),IF(ISERROR(AP29),"НЕТ",OFFSET(Q31,AP29-1,0,1)&amp;"-"&amp;OFFSET(AN31,AP29-1,0,1)&amp;"-Фланец"),OFFSET(Q31,AO29-1,0,1)&amp;"-"&amp;OFFSET(AN31,AO29-1,0,1)&amp;"-Cэндвич")</f>
        <v>ПРЭМ-20-D-Cэндвич</v>
      </c>
      <c r="AT30" s="284" t="str">
        <f ca="1">IF(ISERROR(AO29),IF(ISERROR(AP29),"НЕТ",OFFSET(Q31,AP29-1,0,1)&amp;"-"&amp;OFFSET(AN31,AP29-1,0,1)),OFFSET(Q31,AO29-1,0,1)&amp;"-"&amp;OFFSET(AN31,AO29-1,0,1))</f>
        <v>ПРЭМ-20-D</v>
      </c>
      <c r="AU30" s="18"/>
      <c r="AV30" s="18" t="str">
        <f ca="1">IF(ISERROR(AO2),IF(ISERROR(AP2),"НЕТ",OFFSET(Q4,AP2-1,0,1)&amp;"-"&amp;OFFSET(AN4,AP2-1,0,1)&amp;"-Ф"),OFFSET(Q4,AO2-1,0,1)&amp;"-"&amp;OFFSET(AN4,AO2-1,0,1)&amp;"-C")</f>
        <v>ПРЭМ-32-D-C</v>
      </c>
      <c r="AW30" s="18"/>
      <c r="AX30" s="18"/>
      <c r="AY30" s="18"/>
      <c r="AZ30" s="18"/>
      <c r="BA30" s="18"/>
      <c r="BB30" s="18"/>
    </row>
    <row r="31" spans="2:54" ht="18" customHeight="1" thickBot="1" x14ac:dyDescent="0.45">
      <c r="B31" s="839" t="s">
        <v>31</v>
      </c>
      <c r="C31" s="840"/>
      <c r="D31" s="804" t="s">
        <v>32</v>
      </c>
      <c r="E31" s="805"/>
      <c r="F31" s="416"/>
      <c r="G31" s="72">
        <v>70</v>
      </c>
      <c r="H31" s="56"/>
      <c r="L31" s="287" t="s">
        <v>74</v>
      </c>
      <c r="M31" s="288">
        <v>0.5</v>
      </c>
      <c r="N31" s="88">
        <f ca="1">OFFSET(DyTr_New,P29-1,1,1)</f>
        <v>5</v>
      </c>
      <c r="O31" s="88">
        <v>1</v>
      </c>
      <c r="P31" s="93" t="str">
        <f t="shared" ref="P31:P40" ca="1" si="55">IF(O31&lt;=$N$31,OFFSET(DyTr_New,$P$29-2+O31,4,1),"---")</f>
        <v>15-40</v>
      </c>
      <c r="Q31" s="93" t="str">
        <f t="shared" ref="Q31:Q40" ca="1" si="56">IF(O31&lt;=$N$31,OFFSET(DyTr_New,$P$29-2+O31,2,1),"---")</f>
        <v>ПРЭМ-15</v>
      </c>
      <c r="R31" s="93">
        <f t="shared" ref="R31:R40" ca="1" si="57">IF(O31&lt;=$N$31,OFFSET(DyTr_New,$P$29-2+O31,5,1),"---")</f>
        <v>15</v>
      </c>
      <c r="S31" s="93" t="str">
        <f t="shared" ref="S31:S40" ca="1" si="58">IF(O31&lt;=$N$31,OFFSET(DyTr_New,$P$29-2+O31,6,1),"---")</f>
        <v>28,08</v>
      </c>
      <c r="T31" s="93">
        <f ca="1">IF(O31&lt;=$N$31,($M$34/3.6)/((PI()*R31^2)/4000),"---")</f>
        <v>4.9458853826155806</v>
      </c>
      <c r="U31" s="289">
        <f ca="1">IF(O31&lt;=$N$31,(T31*R31/$M$36/1000),"---")</f>
        <v>185133.10349191137</v>
      </c>
      <c r="V31" s="289">
        <f ca="1">IF(O31&lt;=$N$31,(1/(1.14+2*LOG((R31/$M$31),10))^2),"---")</f>
        <v>5.9655827422120798E-2</v>
      </c>
      <c r="W31" s="93">
        <f ca="1">IF(O31&lt;=$N$31,(IF(S31=0,0,(V31/(8*SIN(RADIANS(S31/2))))*(1-(R31/$M$33)^4))),"---")</f>
        <v>3.0129995641405064E-2</v>
      </c>
      <c r="X31" s="93">
        <f ca="1">IF(O31&lt;=$N$31,(3.2*TAN(RADIANS(S31/2))^1.25*(1-(R31/$M$33)^2)^2),"---")</f>
        <v>0.41791857056771953</v>
      </c>
      <c r="Y31" s="93">
        <f ca="1">IF(O31&lt;=$N$31,(IF(S31=0,0,V31/(8*SIN(RADIANS(S31/2)))*(1-(R31/$M$33)^4))),"---")</f>
        <v>3.0129995641405064E-2</v>
      </c>
      <c r="Z31" s="290">
        <f t="shared" ref="Z31:Z40" ca="1" si="59">IF(O31&lt;=$N$31,VLOOKUP(Q31&amp;"-Сэндвич",TypePFlow,3,FALSE),"---")</f>
        <v>0</v>
      </c>
      <c r="AA31" s="290">
        <f t="shared" ref="AA31:AA40" ca="1" si="60">IF(O31&lt;=$N$31,VLOOKUP(Q31&amp;"-Фланец",TypePFlow,3,FALSE),"---")</f>
        <v>0</v>
      </c>
      <c r="AB31" s="93">
        <f t="shared" ref="AB31:AB40" ca="1" si="61">IF(O31&lt;=$N$31,(V31*4+W31+X31+Y31)*T31^2/(2*9.81),"--")</f>
        <v>0.89369272553623735</v>
      </c>
      <c r="AC31" s="291">
        <f t="shared" ref="AC31:AC40" ca="1" si="62">IF(O31&lt;=$N$31,(Z31*$M$34^2),"--")</f>
        <v>0</v>
      </c>
      <c r="AD31" s="93">
        <f t="shared" ref="AD31:AD40" ca="1" si="63">IF(O31&lt;=$N$31,(AA31*$M$34^2),"--")</f>
        <v>0</v>
      </c>
      <c r="AE31" s="93">
        <f t="shared" ref="AE31:AE40" ca="1" si="64">IF(O31&lt;=$N$31,(AB31+AC31),"---")</f>
        <v>0.89369272553623735</v>
      </c>
      <c r="AF31" s="93">
        <f t="shared" ref="AF31:AF40" ca="1" si="65">IF(O31&lt;=$N$31,(AB31+AD31),"---")</f>
        <v>0.89369272553623735</v>
      </c>
      <c r="AG31" s="292">
        <f t="shared" ref="AG31:AG40" ca="1" si="66">IF(O31&lt;=$N$31,VLOOKUP(Q31&amp;"-D",ParamPiterflow,2,FALSE),"---")</f>
        <v>0.04</v>
      </c>
      <c r="AH31" s="292">
        <f t="shared" ref="AH31:AH40" ca="1" si="67">IF(O31&lt;=$N$31,VLOOKUP(Q31&amp;"-C1",ParamPiterflow,2,FALSE),"---")</f>
        <v>2.4E-2</v>
      </c>
      <c r="AI31" s="292">
        <f t="shared" ref="AI31:AI40" ca="1" si="68">IF(O31&lt;=$N$31,VLOOKUP(Q31&amp;"-B1",ParamPiterflow,2,FALSE),"---")</f>
        <v>1.2999999999999999E-2</v>
      </c>
      <c r="AJ31" s="292">
        <f t="shared" ref="AJ31:AJ40" ca="1" si="69">IF(O31&lt;=$N$31,VLOOKUP(Q31&amp;"-D",ParamPiterflow,4,FALSE),"---")</f>
        <v>6</v>
      </c>
      <c r="AK31" s="293" t="b">
        <f t="shared" ref="AK31:AK40" ca="1" si="70">IF($O31&lt;=$N$31,AND(AG31&lt;$M$35,$AJ31&gt;$M$34),"---")</f>
        <v>1</v>
      </c>
      <c r="AL31" s="293" t="b">
        <f t="shared" ref="AL31:AL40" ca="1" si="71">IF($O31&lt;=$N$31,AND(AH31&lt;$M$35,$AJ31&gt;$M$34),"---")</f>
        <v>1</v>
      </c>
      <c r="AM31" s="293" t="b">
        <f t="shared" ref="AM31:AM40" ca="1" si="72">IF($O31&lt;=$N$31,AND(AI31&lt;$M$35,$AJ31&gt;$M$34),"---")</f>
        <v>1</v>
      </c>
      <c r="AN31" s="294" t="str">
        <f ca="1">IF($O31&lt;=$N$31,IF(AK31,"D",IF(AL31,"C1",IF(AM31,"B1","НЕТ"))),"---")</f>
        <v>D</v>
      </c>
      <c r="AO31" s="294" t="b">
        <f ca="1">IF($O31&lt;=$N$31,AND(AE31&lt;$M$32,NOT(AN31="НЕТ"),IF($E$26="Экономный",T31&lt;=3,IF(AND($E$26="Оптимальный",T31&gt;$G$51),T31&lt;=1.8,IF(AND($E$26="Затратный",T31&gt;$G$51),T31&lt;=1,T31&lt;=3)))),"---")</f>
        <v>0</v>
      </c>
      <c r="AP31" s="294" t="b">
        <f ca="1">IF($O31&lt;=$N$31,AND(AF31&lt;$M$32,NOT(AN31="НЕТ"),IF($E$26="Экономный",T31&lt;=3,IF(AND($E$26="Оптимальный",T31&gt;$G$51),T31&lt;=1.8,IF(AND($E$26="Затратный",T31&gt;$G$51),T31&lt;=1,T31&lt;=3)))),"---")</f>
        <v>0</v>
      </c>
      <c r="AQ31" s="295"/>
      <c r="AR31" s="296"/>
      <c r="AS31" s="259"/>
      <c r="AT31" s="259">
        <f ca="1">IF(ISERROR(AO29),IF(ISERROR(AP29),"НЕТ",AP29),AO29)</f>
        <v>2</v>
      </c>
      <c r="AU31" s="21"/>
      <c r="AV31" s="21"/>
      <c r="AW31" s="21"/>
      <c r="AX31" s="21"/>
      <c r="AY31" s="21"/>
      <c r="AZ31" s="21"/>
      <c r="BA31" s="21"/>
      <c r="BB31" s="21"/>
    </row>
    <row r="32" spans="2:54" ht="18" customHeight="1" x14ac:dyDescent="0.4">
      <c r="B32" s="839" t="s">
        <v>23</v>
      </c>
      <c r="C32" s="840"/>
      <c r="D32" s="94">
        <v>0.5</v>
      </c>
      <c r="E32" s="94">
        <v>0.5</v>
      </c>
      <c r="F32" s="274"/>
      <c r="G32" s="25">
        <v>0.5</v>
      </c>
      <c r="H32" s="329"/>
      <c r="L32" s="297" t="s">
        <v>189</v>
      </c>
      <c r="M32" s="298">
        <f>G32</f>
        <v>0.5</v>
      </c>
      <c r="N32" s="88"/>
      <c r="O32" s="88">
        <v>2</v>
      </c>
      <c r="P32" s="93" t="str">
        <f t="shared" ca="1" si="55"/>
        <v>20-40</v>
      </c>
      <c r="Q32" s="93" t="str">
        <f t="shared" ca="1" si="56"/>
        <v>ПРЭМ-20</v>
      </c>
      <c r="R32" s="93">
        <f t="shared" ca="1" si="57"/>
        <v>20</v>
      </c>
      <c r="S32" s="93" t="str">
        <f t="shared" ca="1" si="58"/>
        <v>53,14</v>
      </c>
      <c r="T32" s="93">
        <f t="shared" ref="T32:T40" ca="1" si="73">IF(O32&lt;=$N$31,($M$34/3.6)/((PI()*R32^2)/4000),"---")</f>
        <v>2.782060527721264</v>
      </c>
      <c r="U32" s="289">
        <f t="shared" ref="U32:U40" ca="1" si="74">IF(O32&lt;=$N$31,(T32*R32/$M$36/1000),"---")</f>
        <v>138849.82761893352</v>
      </c>
      <c r="V32" s="289">
        <f t="shared" ref="V32:V40" ca="1" si="75">IF(O32&lt;=$N$31,(1/(1.14+2*LOG((R32/$M$31),10))^2),"---")</f>
        <v>5.2990299783484442E-2</v>
      </c>
      <c r="W32" s="93">
        <f t="shared" ref="W32:W40" ca="1" si="76">IF(O32&lt;=$N$31,(IF(S32=0,0,(V32/(8*SIN(RADIANS(S32/2))))*(1-(R32/$M$33)^4))),"---")</f>
        <v>1.3883138404978212E-2</v>
      </c>
      <c r="X32" s="93">
        <f t="shared" ref="X32:X40" ca="1" si="77">IF(O32&lt;=$N$31,(3.2*TAN(RADIANS(S32/2))^1.25*(1-(R32/$M$33)^2)^2),"---")</f>
        <v>0.75701106263930373</v>
      </c>
      <c r="Y32" s="93">
        <f t="shared" ref="Y32:Y40" ca="1" si="78">IF(O32&lt;=$N$31,(IF(S32=0,0,V32/(8*SIN(RADIANS(S32/2)))*(1-(R32/$M$33)^4))),"---")</f>
        <v>1.3883138404978212E-2</v>
      </c>
      <c r="Z32" s="290">
        <f t="shared" ca="1" si="59"/>
        <v>0</v>
      </c>
      <c r="AA32" s="290">
        <f t="shared" ca="1" si="60"/>
        <v>0</v>
      </c>
      <c r="AB32" s="93">
        <f t="shared" ca="1" si="61"/>
        <v>0.39320170859325376</v>
      </c>
      <c r="AC32" s="291">
        <f t="shared" ca="1" si="62"/>
        <v>0</v>
      </c>
      <c r="AD32" s="93">
        <f t="shared" ca="1" si="63"/>
        <v>0</v>
      </c>
      <c r="AE32" s="93">
        <f t="shared" ca="1" si="64"/>
        <v>0.39320170859325376</v>
      </c>
      <c r="AF32" s="93">
        <f t="shared" ca="1" si="65"/>
        <v>0.39320170859325376</v>
      </c>
      <c r="AG32" s="292">
        <f t="shared" ca="1" si="66"/>
        <v>0.08</v>
      </c>
      <c r="AH32" s="292">
        <f t="shared" ca="1" si="67"/>
        <v>4.8000000000000001E-2</v>
      </c>
      <c r="AI32" s="292">
        <f t="shared" ca="1" si="68"/>
        <v>2.7E-2</v>
      </c>
      <c r="AJ32" s="292">
        <f t="shared" ca="1" si="69"/>
        <v>12</v>
      </c>
      <c r="AK32" s="293" t="b">
        <f t="shared" ca="1" si="70"/>
        <v>1</v>
      </c>
      <c r="AL32" s="293" t="b">
        <f t="shared" ca="1" si="71"/>
        <v>1</v>
      </c>
      <c r="AM32" s="293" t="b">
        <f t="shared" ca="1" si="72"/>
        <v>1</v>
      </c>
      <c r="AN32" s="294" t="str">
        <f t="shared" ref="AN32:AN40" ca="1" si="79">IF($O32&lt;=$N$31,IF(AK32,"D",IF(AL32,"C1",IF(AM32,"B1","НЕТ"))),"---")</f>
        <v>D</v>
      </c>
      <c r="AO32" s="294" t="b">
        <f t="shared" ref="AO32:AO40" ca="1" si="80">IF($O32&lt;=$N$31,AND(AE32&lt;$M$32,NOT(AN32="НЕТ"),IF($E$26="Экономный",T32&lt;=3,IF(AND($E$26="Оптимальный",T32&gt;$G$51),T32&lt;=1.8,IF(AND($E$26="Затратный",T32&gt;$G$51),T32&lt;=1,T32&lt;=3)))),"---")</f>
        <v>1</v>
      </c>
      <c r="AP32" s="294" t="b">
        <f t="shared" ref="AP32:AP40" ca="1" si="81">IF($O32&lt;=$N$31,AND(AF32&lt;$M$32,NOT(AN32="НЕТ"),IF($E$26="Экономный",T32&lt;=3,IF($E$26="Оптимальный",T32&lt;=1.8,IF($E$26="Затратный",T32&lt;=1,T32&lt;=3)))),"---")</f>
        <v>1</v>
      </c>
      <c r="AQ32" s="299" t="s">
        <v>18</v>
      </c>
      <c r="AR32" s="300">
        <f ca="1">OFFSET(T31,IF(ISERROR(AO29),IF(ISERROR(AP29),"НЕТ",AP29),AO29)-1,0,1)</f>
        <v>2.782060527721264</v>
      </c>
      <c r="AS32" s="259"/>
      <c r="AT32" s="259"/>
      <c r="AU32" s="18"/>
      <c r="AV32" s="18"/>
      <c r="AW32" s="18"/>
      <c r="AX32" s="18"/>
      <c r="AY32" s="18"/>
      <c r="AZ32" s="18"/>
      <c r="BA32" s="18"/>
      <c r="BB32" s="18"/>
    </row>
    <row r="33" spans="2:54" ht="18" customHeight="1" x14ac:dyDescent="0.4">
      <c r="B33" s="839" t="s">
        <v>412</v>
      </c>
      <c r="C33" s="840"/>
      <c r="D33" s="15">
        <v>50</v>
      </c>
      <c r="E33" s="15">
        <v>50</v>
      </c>
      <c r="F33" s="330"/>
      <c r="G33" s="15">
        <v>40</v>
      </c>
      <c r="H33" s="329"/>
      <c r="L33" s="302" t="s">
        <v>410</v>
      </c>
      <c r="M33" s="303">
        <f>$G$33</f>
        <v>40</v>
      </c>
      <c r="N33" s="88"/>
      <c r="O33" s="88">
        <v>3</v>
      </c>
      <c r="P33" s="93" t="str">
        <f t="shared" ca="1" si="55"/>
        <v>25-40</v>
      </c>
      <c r="Q33" s="93" t="str">
        <f t="shared" ca="1" si="56"/>
        <v>ПРЭМ-25</v>
      </c>
      <c r="R33" s="93">
        <f t="shared" ca="1" si="57"/>
        <v>25</v>
      </c>
      <c r="S33" s="93" t="str">
        <f t="shared" ca="1" si="58"/>
        <v>41,12</v>
      </c>
      <c r="T33" s="93">
        <f t="shared" ca="1" si="73"/>
        <v>1.780518737741609</v>
      </c>
      <c r="U33" s="289">
        <f t="shared" ca="1" si="74"/>
        <v>111079.86209514682</v>
      </c>
      <c r="V33" s="289">
        <f t="shared" ca="1" si="75"/>
        <v>4.8560427292756572E-2</v>
      </c>
      <c r="W33" s="93">
        <f t="shared" ca="1" si="76"/>
        <v>1.4646957589676501E-2</v>
      </c>
      <c r="X33" s="93">
        <f t="shared" ca="1" si="77"/>
        <v>0.34879664108793468</v>
      </c>
      <c r="Y33" s="93">
        <f t="shared" ca="1" si="78"/>
        <v>1.4646957589676501E-2</v>
      </c>
      <c r="Z33" s="290">
        <f t="shared" ca="1" si="59"/>
        <v>0</v>
      </c>
      <c r="AA33" s="290">
        <f t="shared" ca="1" si="60"/>
        <v>0</v>
      </c>
      <c r="AB33" s="93">
        <f t="shared" ca="1" si="61"/>
        <v>9.2478829432093443E-2</v>
      </c>
      <c r="AC33" s="291">
        <f t="shared" ca="1" si="62"/>
        <v>0</v>
      </c>
      <c r="AD33" s="93">
        <f t="shared" ca="1" si="63"/>
        <v>0</v>
      </c>
      <c r="AE33" s="93">
        <f t="shared" ca="1" si="64"/>
        <v>9.2478829432093443E-2</v>
      </c>
      <c r="AF33" s="93">
        <f t="shared" ca="1" si="65"/>
        <v>9.2478829432093443E-2</v>
      </c>
      <c r="AG33" s="292">
        <f t="shared" ca="1" si="66"/>
        <v>0.12</v>
      </c>
      <c r="AH33" s="292">
        <f t="shared" ca="1" si="67"/>
        <v>7.1999999999999995E-2</v>
      </c>
      <c r="AI33" s="292">
        <f t="shared" ca="1" si="68"/>
        <v>0.04</v>
      </c>
      <c r="AJ33" s="292">
        <f t="shared" ca="1" si="69"/>
        <v>18</v>
      </c>
      <c r="AK33" s="293" t="b">
        <f t="shared" ca="1" si="70"/>
        <v>1</v>
      </c>
      <c r="AL33" s="293" t="b">
        <f t="shared" ca="1" si="71"/>
        <v>1</v>
      </c>
      <c r="AM33" s="293" t="b">
        <f t="shared" ca="1" si="72"/>
        <v>1</v>
      </c>
      <c r="AN33" s="294" t="str">
        <f t="shared" ca="1" si="79"/>
        <v>D</v>
      </c>
      <c r="AO33" s="294" t="b">
        <f t="shared" ca="1" si="80"/>
        <v>1</v>
      </c>
      <c r="AP33" s="294" t="b">
        <f t="shared" ca="1" si="81"/>
        <v>1</v>
      </c>
      <c r="AQ33" s="65" t="s">
        <v>22</v>
      </c>
      <c r="AR33" s="300">
        <f ca="1">IF(ISERROR(AO29),IF(ISERROR(AP29),"НЕТ",OFFSET(AF31,AP29-1,0,1)),OFFSET(AE31,AO29-1,0,1))</f>
        <v>0.39320170859325376</v>
      </c>
      <c r="AS33" s="304"/>
      <c r="AT33" s="6">
        <f ca="1">IF(ISERROR(AO29),IF(ISERROR(AP29),"НЕТ",OFFSET(AF31,AP29-1,0,1)),OFFSET(AE31,AO29-1,0,1))</f>
        <v>0.39320170859325376</v>
      </c>
      <c r="AU33" s="22"/>
      <c r="AV33" s="22"/>
      <c r="AW33" s="22"/>
      <c r="AX33" s="22"/>
      <c r="AY33" s="22"/>
      <c r="AZ33" s="22"/>
      <c r="BA33" s="22"/>
      <c r="BB33" s="22"/>
    </row>
    <row r="34" spans="2:54" ht="18" customHeight="1" thickBot="1" x14ac:dyDescent="0.45">
      <c r="B34" s="843" t="s">
        <v>30</v>
      </c>
      <c r="C34" s="844"/>
      <c r="D34" s="16">
        <v>7</v>
      </c>
      <c r="E34" s="16">
        <v>5</v>
      </c>
      <c r="F34" s="330"/>
      <c r="G34" s="16">
        <v>4</v>
      </c>
      <c r="H34" s="329"/>
      <c r="L34" s="305" t="s">
        <v>71</v>
      </c>
      <c r="M34" s="306">
        <f>G48</f>
        <v>3.1464363296632558</v>
      </c>
      <c r="N34" s="88"/>
      <c r="O34" s="88">
        <v>4</v>
      </c>
      <c r="P34" s="93" t="str">
        <f t="shared" ca="1" si="55"/>
        <v>32-40</v>
      </c>
      <c r="Q34" s="93" t="str">
        <f t="shared" ca="1" si="56"/>
        <v>ПРЭМ-32</v>
      </c>
      <c r="R34" s="93">
        <f t="shared" ca="1" si="57"/>
        <v>32</v>
      </c>
      <c r="S34" s="93" t="str">
        <f t="shared" ca="1" si="58"/>
        <v>22,62</v>
      </c>
      <c r="T34" s="93">
        <f t="shared" ca="1" si="73"/>
        <v>1.0867423936411187</v>
      </c>
      <c r="U34" s="289">
        <f t="shared" ca="1" si="74"/>
        <v>86781.142261833462</v>
      </c>
      <c r="V34" s="289">
        <f t="shared" ca="1" si="75"/>
        <v>4.4277322004702871E-2</v>
      </c>
      <c r="W34" s="93">
        <f t="shared" ca="1" si="76"/>
        <v>1.6661796369831432E-2</v>
      </c>
      <c r="X34" s="93">
        <f t="shared" ca="1" si="77"/>
        <v>5.5468420773376749E-2</v>
      </c>
      <c r="Y34" s="93">
        <f t="shared" ca="1" si="78"/>
        <v>1.6661796369831432E-2</v>
      </c>
      <c r="Z34" s="290">
        <f t="shared" ca="1" si="59"/>
        <v>0</v>
      </c>
      <c r="AA34" s="290">
        <f t="shared" ca="1" si="60"/>
        <v>0</v>
      </c>
      <c r="AB34" s="93">
        <f t="shared" ca="1" si="61"/>
        <v>1.6005700215813035E-2</v>
      </c>
      <c r="AC34" s="291">
        <f t="shared" ca="1" si="62"/>
        <v>0</v>
      </c>
      <c r="AD34" s="93">
        <f t="shared" ca="1" si="63"/>
        <v>0</v>
      </c>
      <c r="AE34" s="93">
        <f t="shared" ca="1" si="64"/>
        <v>1.6005700215813035E-2</v>
      </c>
      <c r="AF34" s="93">
        <f t="shared" ca="1" si="65"/>
        <v>1.6005700215813035E-2</v>
      </c>
      <c r="AG34" s="292">
        <f t="shared" ca="1" si="66"/>
        <v>0.2</v>
      </c>
      <c r="AH34" s="292">
        <f t="shared" ca="1" si="67"/>
        <v>0.12</v>
      </c>
      <c r="AI34" s="292">
        <f t="shared" ca="1" si="68"/>
        <v>6.7000000000000004E-2</v>
      </c>
      <c r="AJ34" s="292">
        <f t="shared" ca="1" si="69"/>
        <v>30</v>
      </c>
      <c r="AK34" s="293" t="b">
        <f t="shared" ca="1" si="70"/>
        <v>0</v>
      </c>
      <c r="AL34" s="293" t="b">
        <f t="shared" ca="1" si="71"/>
        <v>1</v>
      </c>
      <c r="AM34" s="293" t="b">
        <f t="shared" ca="1" si="72"/>
        <v>1</v>
      </c>
      <c r="AN34" s="294" t="str">
        <f t="shared" ca="1" si="79"/>
        <v>C1</v>
      </c>
      <c r="AO34" s="294" t="b">
        <f t="shared" ca="1" si="80"/>
        <v>1</v>
      </c>
      <c r="AP34" s="294" t="b">
        <f t="shared" ca="1" si="81"/>
        <v>1</v>
      </c>
      <c r="AQ34" s="307"/>
      <c r="AR34" s="308"/>
      <c r="AS34" s="309"/>
      <c r="AT34" s="310"/>
      <c r="AU34" s="36"/>
      <c r="AV34" s="36"/>
      <c r="AW34" s="36"/>
      <c r="AX34" s="36"/>
      <c r="AY34" s="36"/>
      <c r="AZ34" s="36"/>
      <c r="BA34" s="36"/>
      <c r="BB34" s="41"/>
    </row>
    <row r="35" spans="2:54" ht="18" customHeight="1" thickBot="1" x14ac:dyDescent="0.45">
      <c r="H35" s="329"/>
      <c r="K35" s="258"/>
      <c r="L35" s="305" t="s">
        <v>72</v>
      </c>
      <c r="M35" s="306">
        <f>G49</f>
        <v>0.12585745318653022</v>
      </c>
      <c r="N35" s="88"/>
      <c r="O35" s="88">
        <v>5</v>
      </c>
      <c r="P35" s="93" t="str">
        <f t="shared" ca="1" si="55"/>
        <v>40-40</v>
      </c>
      <c r="Q35" s="93" t="str">
        <f t="shared" ca="1" si="56"/>
        <v>ПРЭМ-40</v>
      </c>
      <c r="R35" s="93">
        <f t="shared" ca="1" si="57"/>
        <v>40</v>
      </c>
      <c r="S35" s="93">
        <f t="shared" ca="1" si="58"/>
        <v>0</v>
      </c>
      <c r="T35" s="93">
        <f t="shared" ca="1" si="73"/>
        <v>0.695515131930316</v>
      </c>
      <c r="U35" s="289">
        <f t="shared" ca="1" si="74"/>
        <v>69424.913809466758</v>
      </c>
      <c r="V35" s="289">
        <f t="shared" ca="1" si="75"/>
        <v>4.0875226338606262E-2</v>
      </c>
      <c r="W35" s="93">
        <f t="shared" ca="1" si="76"/>
        <v>0</v>
      </c>
      <c r="X35" s="93">
        <f t="shared" ca="1" si="77"/>
        <v>0</v>
      </c>
      <c r="Y35" s="93">
        <f t="shared" ca="1" si="78"/>
        <v>0</v>
      </c>
      <c r="Z35" s="290">
        <f t="shared" ca="1" si="59"/>
        <v>0</v>
      </c>
      <c r="AA35" s="290">
        <f t="shared" ca="1" si="60"/>
        <v>0</v>
      </c>
      <c r="AB35" s="93">
        <f t="shared" ca="1" si="61"/>
        <v>4.0311998115176717E-3</v>
      </c>
      <c r="AC35" s="291">
        <f t="shared" ca="1" si="62"/>
        <v>0</v>
      </c>
      <c r="AD35" s="93">
        <f t="shared" ca="1" si="63"/>
        <v>0</v>
      </c>
      <c r="AE35" s="93">
        <f t="shared" ca="1" si="64"/>
        <v>4.0311998115176717E-3</v>
      </c>
      <c r="AF35" s="93">
        <f t="shared" ca="1" si="65"/>
        <v>4.0311998115176717E-3</v>
      </c>
      <c r="AG35" s="292">
        <f t="shared" ca="1" si="66"/>
        <v>0.3</v>
      </c>
      <c r="AH35" s="292">
        <f t="shared" ca="1" si="67"/>
        <v>0.18</v>
      </c>
      <c r="AI35" s="292">
        <f t="shared" ca="1" si="68"/>
        <v>0.1</v>
      </c>
      <c r="AJ35" s="292">
        <f t="shared" ca="1" si="69"/>
        <v>45</v>
      </c>
      <c r="AK35" s="293" t="b">
        <f t="shared" ca="1" si="70"/>
        <v>0</v>
      </c>
      <c r="AL35" s="293" t="b">
        <f t="shared" ca="1" si="71"/>
        <v>0</v>
      </c>
      <c r="AM35" s="293" t="b">
        <f t="shared" ca="1" si="72"/>
        <v>1</v>
      </c>
      <c r="AN35" s="294" t="str">
        <f t="shared" ca="1" si="79"/>
        <v>B1</v>
      </c>
      <c r="AO35" s="294" t="b">
        <f t="shared" ca="1" si="80"/>
        <v>1</v>
      </c>
      <c r="AP35" s="294" t="b">
        <f t="shared" ca="1" si="81"/>
        <v>1</v>
      </c>
      <c r="AQ35" s="311"/>
      <c r="AR35" s="312"/>
      <c r="AS35" s="313"/>
      <c r="AT35" s="314"/>
    </row>
    <row r="36" spans="2:54" ht="25" customHeight="1" thickBot="1" x14ac:dyDescent="0.45">
      <c r="B36" s="800" t="s">
        <v>35</v>
      </c>
      <c r="C36" s="801"/>
      <c r="D36" s="801"/>
      <c r="E36" s="122"/>
      <c r="F36" s="122"/>
      <c r="G36" s="121"/>
      <c r="K36" s="258"/>
      <c r="L36" s="305" t="s">
        <v>73</v>
      </c>
      <c r="M36" s="315">
        <f>G61</f>
        <v>4.0072941759157111E-7</v>
      </c>
      <c r="N36" s="88"/>
      <c r="O36" s="88">
        <v>6</v>
      </c>
      <c r="P36" s="93" t="str">
        <f t="shared" ca="1" si="55"/>
        <v>---</v>
      </c>
      <c r="Q36" s="93" t="str">
        <f t="shared" ca="1" si="56"/>
        <v>---</v>
      </c>
      <c r="R36" s="93" t="str">
        <f t="shared" ca="1" si="57"/>
        <v>---</v>
      </c>
      <c r="S36" s="93" t="str">
        <f t="shared" ca="1" si="58"/>
        <v>---</v>
      </c>
      <c r="T36" s="93" t="str">
        <f t="shared" ca="1" si="73"/>
        <v>---</v>
      </c>
      <c r="U36" s="289" t="str">
        <f t="shared" ca="1" si="74"/>
        <v>---</v>
      </c>
      <c r="V36" s="289" t="str">
        <f t="shared" ca="1" si="75"/>
        <v>---</v>
      </c>
      <c r="W36" s="93" t="str">
        <f t="shared" ca="1" si="76"/>
        <v>---</v>
      </c>
      <c r="X36" s="93" t="str">
        <f t="shared" ca="1" si="77"/>
        <v>---</v>
      </c>
      <c r="Y36" s="93" t="str">
        <f t="shared" ca="1" si="78"/>
        <v>---</v>
      </c>
      <c r="Z36" s="290" t="str">
        <f t="shared" ca="1" si="59"/>
        <v>---</v>
      </c>
      <c r="AA36" s="290" t="str">
        <f t="shared" ca="1" si="60"/>
        <v>---</v>
      </c>
      <c r="AB36" s="93" t="str">
        <f t="shared" ca="1" si="61"/>
        <v>--</v>
      </c>
      <c r="AC36" s="291" t="str">
        <f t="shared" ca="1" si="62"/>
        <v>--</v>
      </c>
      <c r="AD36" s="93" t="str">
        <f t="shared" ca="1" si="63"/>
        <v>--</v>
      </c>
      <c r="AE36" s="93" t="str">
        <f t="shared" ca="1" si="64"/>
        <v>---</v>
      </c>
      <c r="AF36" s="93" t="str">
        <f t="shared" ca="1" si="65"/>
        <v>---</v>
      </c>
      <c r="AG36" s="292" t="str">
        <f t="shared" ca="1" si="66"/>
        <v>---</v>
      </c>
      <c r="AH36" s="292" t="str">
        <f t="shared" ca="1" si="67"/>
        <v>---</v>
      </c>
      <c r="AI36" s="292" t="str">
        <f t="shared" ca="1" si="68"/>
        <v>---</v>
      </c>
      <c r="AJ36" s="292" t="str">
        <f t="shared" ca="1" si="69"/>
        <v>---</v>
      </c>
      <c r="AK36" s="293" t="str">
        <f t="shared" ca="1" si="70"/>
        <v>---</v>
      </c>
      <c r="AL36" s="293" t="str">
        <f t="shared" ca="1" si="71"/>
        <v>---</v>
      </c>
      <c r="AM36" s="293" t="str">
        <f t="shared" ca="1" si="72"/>
        <v>---</v>
      </c>
      <c r="AN36" s="294" t="str">
        <f t="shared" ca="1" si="79"/>
        <v>---</v>
      </c>
      <c r="AO36" s="294" t="str">
        <f t="shared" ca="1" si="80"/>
        <v>---</v>
      </c>
      <c r="AP36" s="294" t="str">
        <f t="shared" ca="1" si="81"/>
        <v>---</v>
      </c>
      <c r="AQ36" s="91"/>
      <c r="AS36" s="316"/>
      <c r="AT36" s="317"/>
    </row>
    <row r="37" spans="2:54" ht="45" customHeight="1" thickBot="1" x14ac:dyDescent="0.45">
      <c r="B37" s="823" t="s">
        <v>106</v>
      </c>
      <c r="C37" s="824"/>
      <c r="D37" s="119" t="str">
        <f ca="1">AR3</f>
        <v>ПРЭМ-32-D-Cэндвич</v>
      </c>
      <c r="E37" s="120" t="str">
        <f ca="1">AR16</f>
        <v>ПРЭМ-32-D-Cэндвич</v>
      </c>
      <c r="G37" s="120" t="str">
        <f ca="1">AR30</f>
        <v>ПРЭМ-20-D-Cэндвич</v>
      </c>
      <c r="H37" s="56"/>
      <c r="K37" s="360"/>
      <c r="L37" s="318" t="s">
        <v>102</v>
      </c>
      <c r="M37" s="319">
        <f>(M34/3.6)/((PI()*M33^2)/4000)</f>
        <v>0.695515131930316</v>
      </c>
      <c r="O37" s="88">
        <v>7</v>
      </c>
      <c r="P37" s="93" t="str">
        <f t="shared" ca="1" si="55"/>
        <v>---</v>
      </c>
      <c r="Q37" s="93" t="str">
        <f t="shared" ca="1" si="56"/>
        <v>---</v>
      </c>
      <c r="R37" s="93" t="str">
        <f t="shared" ca="1" si="57"/>
        <v>---</v>
      </c>
      <c r="S37" s="93" t="str">
        <f t="shared" ca="1" si="58"/>
        <v>---</v>
      </c>
      <c r="T37" s="93" t="str">
        <f t="shared" ca="1" si="73"/>
        <v>---</v>
      </c>
      <c r="U37" s="289" t="str">
        <f t="shared" ca="1" si="74"/>
        <v>---</v>
      </c>
      <c r="V37" s="289" t="str">
        <f t="shared" ca="1" si="75"/>
        <v>---</v>
      </c>
      <c r="W37" s="93" t="str">
        <f t="shared" ca="1" si="76"/>
        <v>---</v>
      </c>
      <c r="X37" s="93" t="str">
        <f t="shared" ca="1" si="77"/>
        <v>---</v>
      </c>
      <c r="Y37" s="93" t="str">
        <f t="shared" ca="1" si="78"/>
        <v>---</v>
      </c>
      <c r="Z37" s="290" t="str">
        <f t="shared" ca="1" si="59"/>
        <v>---</v>
      </c>
      <c r="AA37" s="290" t="str">
        <f t="shared" ca="1" si="60"/>
        <v>---</v>
      </c>
      <c r="AB37" s="93" t="str">
        <f t="shared" ca="1" si="61"/>
        <v>--</v>
      </c>
      <c r="AC37" s="291" t="str">
        <f t="shared" ca="1" si="62"/>
        <v>--</v>
      </c>
      <c r="AD37" s="93" t="str">
        <f t="shared" ca="1" si="63"/>
        <v>--</v>
      </c>
      <c r="AE37" s="93" t="str">
        <f t="shared" ca="1" si="64"/>
        <v>---</v>
      </c>
      <c r="AF37" s="93" t="str">
        <f t="shared" ca="1" si="65"/>
        <v>---</v>
      </c>
      <c r="AG37" s="292" t="str">
        <f t="shared" ca="1" si="66"/>
        <v>---</v>
      </c>
      <c r="AH37" s="292" t="str">
        <f t="shared" ca="1" si="67"/>
        <v>---</v>
      </c>
      <c r="AI37" s="292" t="str">
        <f t="shared" ca="1" si="68"/>
        <v>---</v>
      </c>
      <c r="AJ37" s="292" t="str">
        <f t="shared" ca="1" si="69"/>
        <v>---</v>
      </c>
      <c r="AK37" s="293" t="str">
        <f t="shared" ca="1" si="70"/>
        <v>---</v>
      </c>
      <c r="AL37" s="293" t="str">
        <f t="shared" ca="1" si="71"/>
        <v>---</v>
      </c>
      <c r="AM37" s="293" t="str">
        <f t="shared" ca="1" si="72"/>
        <v>---</v>
      </c>
      <c r="AN37" s="294" t="str">
        <f t="shared" ca="1" si="79"/>
        <v>---</v>
      </c>
      <c r="AO37" s="294" t="str">
        <f t="shared" ca="1" si="80"/>
        <v>---</v>
      </c>
      <c r="AP37" s="294" t="str">
        <f t="shared" ca="1" si="81"/>
        <v>---</v>
      </c>
      <c r="AR37" s="320"/>
      <c r="AT37" s="9"/>
    </row>
    <row r="38" spans="2:54" ht="18" customHeight="1" x14ac:dyDescent="0.3">
      <c r="B38" s="819" t="s">
        <v>58</v>
      </c>
      <c r="C38" s="820"/>
      <c r="D38" s="27">
        <f ca="1">VLOOKUP(AT3,ParamPiterflow,4,FALSE)</f>
        <v>30</v>
      </c>
      <c r="E38" s="28">
        <f ca="1">VLOOKUP(AT16,ParamPiterflow,4,FALSE)</f>
        <v>30</v>
      </c>
      <c r="G38" s="28">
        <f ca="1">VLOOKUP(AT30,ParamPiterflow,4,FALSE)</f>
        <v>12</v>
      </c>
      <c r="J38" s="41"/>
      <c r="K38" s="360"/>
      <c r="O38" s="88">
        <v>8</v>
      </c>
      <c r="P38" s="93" t="str">
        <f t="shared" ca="1" si="55"/>
        <v>---</v>
      </c>
      <c r="Q38" s="93" t="str">
        <f t="shared" ca="1" si="56"/>
        <v>---</v>
      </c>
      <c r="R38" s="93" t="str">
        <f t="shared" ca="1" si="57"/>
        <v>---</v>
      </c>
      <c r="S38" s="93" t="str">
        <f t="shared" ca="1" si="58"/>
        <v>---</v>
      </c>
      <c r="T38" s="93" t="str">
        <f t="shared" ca="1" si="73"/>
        <v>---</v>
      </c>
      <c r="U38" s="289" t="str">
        <f t="shared" ca="1" si="74"/>
        <v>---</v>
      </c>
      <c r="V38" s="289" t="str">
        <f t="shared" ca="1" si="75"/>
        <v>---</v>
      </c>
      <c r="W38" s="93" t="str">
        <f t="shared" ca="1" si="76"/>
        <v>---</v>
      </c>
      <c r="X38" s="93" t="str">
        <f t="shared" ca="1" si="77"/>
        <v>---</v>
      </c>
      <c r="Y38" s="93" t="str">
        <f t="shared" ca="1" si="78"/>
        <v>---</v>
      </c>
      <c r="Z38" s="290" t="str">
        <f t="shared" ca="1" si="59"/>
        <v>---</v>
      </c>
      <c r="AA38" s="290" t="str">
        <f t="shared" ca="1" si="60"/>
        <v>---</v>
      </c>
      <c r="AB38" s="93" t="str">
        <f t="shared" ca="1" si="61"/>
        <v>--</v>
      </c>
      <c r="AC38" s="291" t="str">
        <f t="shared" ca="1" si="62"/>
        <v>--</v>
      </c>
      <c r="AD38" s="93" t="str">
        <f t="shared" ca="1" si="63"/>
        <v>--</v>
      </c>
      <c r="AE38" s="93" t="str">
        <f t="shared" ca="1" si="64"/>
        <v>---</v>
      </c>
      <c r="AF38" s="93" t="str">
        <f t="shared" ca="1" si="65"/>
        <v>---</v>
      </c>
      <c r="AG38" s="292" t="str">
        <f t="shared" ca="1" si="66"/>
        <v>---</v>
      </c>
      <c r="AH38" s="292" t="str">
        <f t="shared" ca="1" si="67"/>
        <v>---</v>
      </c>
      <c r="AI38" s="292" t="str">
        <f t="shared" ca="1" si="68"/>
        <v>---</v>
      </c>
      <c r="AJ38" s="292" t="str">
        <f t="shared" ca="1" si="69"/>
        <v>---</v>
      </c>
      <c r="AK38" s="293" t="str">
        <f t="shared" ca="1" si="70"/>
        <v>---</v>
      </c>
      <c r="AL38" s="293" t="str">
        <f t="shared" ca="1" si="71"/>
        <v>---</v>
      </c>
      <c r="AM38" s="293" t="str">
        <f t="shared" ca="1" si="72"/>
        <v>---</v>
      </c>
      <c r="AN38" s="294" t="str">
        <f t="shared" ca="1" si="79"/>
        <v>---</v>
      </c>
      <c r="AO38" s="294" t="str">
        <f t="shared" ca="1" si="80"/>
        <v>---</v>
      </c>
      <c r="AP38" s="294" t="str">
        <f t="shared" ca="1" si="81"/>
        <v>---</v>
      </c>
      <c r="AR38" s="320"/>
    </row>
    <row r="39" spans="2:54" ht="18" customHeight="1" x14ac:dyDescent="0.3">
      <c r="B39" s="815" t="s">
        <v>233</v>
      </c>
      <c r="C39" s="816"/>
      <c r="D39" s="29">
        <f ca="1">VLOOKUP(AT3,ParamPiterflow,3,FALSE)</f>
        <v>0.3</v>
      </c>
      <c r="E39" s="30">
        <f ca="1">VLOOKUP(AT16,ParamPiterflow,3,FALSE)</f>
        <v>0.3</v>
      </c>
      <c r="G39" s="30">
        <f ca="1">VLOOKUP(AT30,ParamPiterflow,3,FALSE)</f>
        <v>0.12</v>
      </c>
      <c r="J39" s="334"/>
      <c r="K39" s="41"/>
      <c r="O39" s="88">
        <v>9</v>
      </c>
      <c r="P39" s="93" t="str">
        <f t="shared" ca="1" si="55"/>
        <v>---</v>
      </c>
      <c r="Q39" s="93" t="str">
        <f t="shared" ca="1" si="56"/>
        <v>---</v>
      </c>
      <c r="R39" s="93" t="str">
        <f t="shared" ca="1" si="57"/>
        <v>---</v>
      </c>
      <c r="S39" s="93" t="str">
        <f t="shared" ca="1" si="58"/>
        <v>---</v>
      </c>
      <c r="T39" s="93" t="str">
        <f t="shared" ca="1" si="73"/>
        <v>---</v>
      </c>
      <c r="U39" s="289" t="str">
        <f t="shared" ca="1" si="74"/>
        <v>---</v>
      </c>
      <c r="V39" s="289" t="str">
        <f t="shared" ca="1" si="75"/>
        <v>---</v>
      </c>
      <c r="W39" s="93" t="str">
        <f t="shared" ca="1" si="76"/>
        <v>---</v>
      </c>
      <c r="X39" s="93" t="str">
        <f t="shared" ca="1" si="77"/>
        <v>---</v>
      </c>
      <c r="Y39" s="93" t="str">
        <f t="shared" ca="1" si="78"/>
        <v>---</v>
      </c>
      <c r="Z39" s="290" t="str">
        <f t="shared" ca="1" si="59"/>
        <v>---</v>
      </c>
      <c r="AA39" s="290" t="str">
        <f t="shared" ca="1" si="60"/>
        <v>---</v>
      </c>
      <c r="AB39" s="93" t="str">
        <f t="shared" ca="1" si="61"/>
        <v>--</v>
      </c>
      <c r="AC39" s="291" t="str">
        <f t="shared" ca="1" si="62"/>
        <v>--</v>
      </c>
      <c r="AD39" s="93" t="str">
        <f t="shared" ca="1" si="63"/>
        <v>--</v>
      </c>
      <c r="AE39" s="93" t="str">
        <f t="shared" ca="1" si="64"/>
        <v>---</v>
      </c>
      <c r="AF39" s="93" t="str">
        <f t="shared" ca="1" si="65"/>
        <v>---</v>
      </c>
      <c r="AG39" s="292" t="str">
        <f t="shared" ca="1" si="66"/>
        <v>---</v>
      </c>
      <c r="AH39" s="292" t="str">
        <f t="shared" ca="1" si="67"/>
        <v>---</v>
      </c>
      <c r="AI39" s="292" t="str">
        <f t="shared" ca="1" si="68"/>
        <v>---</v>
      </c>
      <c r="AJ39" s="292" t="str">
        <f t="shared" ca="1" si="69"/>
        <v>---</v>
      </c>
      <c r="AK39" s="293" t="str">
        <f t="shared" ca="1" si="70"/>
        <v>---</v>
      </c>
      <c r="AL39" s="293" t="str">
        <f t="shared" ca="1" si="71"/>
        <v>---</v>
      </c>
      <c r="AM39" s="293" t="str">
        <f t="shared" ca="1" si="72"/>
        <v>---</v>
      </c>
      <c r="AN39" s="294" t="str">
        <f t="shared" ca="1" si="79"/>
        <v>---</v>
      </c>
      <c r="AO39" s="294" t="str">
        <f t="shared" ca="1" si="80"/>
        <v>---</v>
      </c>
      <c r="AP39" s="294" t="str">
        <f t="shared" ca="1" si="81"/>
        <v>---</v>
      </c>
      <c r="AS39" s="41"/>
    </row>
    <row r="40" spans="2:54" ht="18" customHeight="1" thickBot="1" x14ac:dyDescent="0.35">
      <c r="B40" s="815" t="s">
        <v>101</v>
      </c>
      <c r="C40" s="816"/>
      <c r="D40" s="31">
        <f ca="1">VLOOKUP(AT3,ParamPiterflow,2,FALSE)</f>
        <v>0.2</v>
      </c>
      <c r="E40" s="32">
        <f ca="1">VLOOKUP(AT16,ParamPiterflow,2,FALSE)</f>
        <v>0.2</v>
      </c>
      <c r="G40" s="32">
        <f ca="1">VLOOKUP(AT30,ParamPiterflow,2,FALSE)</f>
        <v>0.08</v>
      </c>
      <c r="J40" s="334"/>
      <c r="K40" s="334"/>
      <c r="O40" s="88">
        <v>10</v>
      </c>
      <c r="P40" s="93" t="str">
        <f t="shared" ca="1" si="55"/>
        <v>---</v>
      </c>
      <c r="Q40" s="93" t="str">
        <f t="shared" ca="1" si="56"/>
        <v>---</v>
      </c>
      <c r="R40" s="93" t="str">
        <f t="shared" ca="1" si="57"/>
        <v>---</v>
      </c>
      <c r="S40" s="93" t="str">
        <f t="shared" ca="1" si="58"/>
        <v>---</v>
      </c>
      <c r="T40" s="93" t="str">
        <f t="shared" ca="1" si="73"/>
        <v>---</v>
      </c>
      <c r="U40" s="289" t="str">
        <f t="shared" ca="1" si="74"/>
        <v>---</v>
      </c>
      <c r="V40" s="289" t="str">
        <f t="shared" ca="1" si="75"/>
        <v>---</v>
      </c>
      <c r="W40" s="93" t="str">
        <f t="shared" ca="1" si="76"/>
        <v>---</v>
      </c>
      <c r="X40" s="93" t="str">
        <f t="shared" ca="1" si="77"/>
        <v>---</v>
      </c>
      <c r="Y40" s="93" t="str">
        <f t="shared" ca="1" si="78"/>
        <v>---</v>
      </c>
      <c r="Z40" s="290" t="str">
        <f t="shared" ca="1" si="59"/>
        <v>---</v>
      </c>
      <c r="AA40" s="290" t="str">
        <f t="shared" ca="1" si="60"/>
        <v>---</v>
      </c>
      <c r="AB40" s="93" t="str">
        <f t="shared" ca="1" si="61"/>
        <v>--</v>
      </c>
      <c r="AC40" s="291" t="str">
        <f t="shared" ca="1" si="62"/>
        <v>--</v>
      </c>
      <c r="AD40" s="93" t="str">
        <f t="shared" ca="1" si="63"/>
        <v>--</v>
      </c>
      <c r="AE40" s="93" t="str">
        <f t="shared" ca="1" si="64"/>
        <v>---</v>
      </c>
      <c r="AF40" s="93" t="str">
        <f t="shared" ca="1" si="65"/>
        <v>---</v>
      </c>
      <c r="AG40" s="292" t="str">
        <f t="shared" ca="1" si="66"/>
        <v>---</v>
      </c>
      <c r="AH40" s="292" t="str">
        <f t="shared" ca="1" si="67"/>
        <v>---</v>
      </c>
      <c r="AI40" s="292" t="str">
        <f t="shared" ca="1" si="68"/>
        <v>---</v>
      </c>
      <c r="AJ40" s="292" t="str">
        <f t="shared" ca="1" si="69"/>
        <v>---</v>
      </c>
      <c r="AK40" s="293" t="str">
        <f t="shared" ca="1" si="70"/>
        <v>---</v>
      </c>
      <c r="AL40" s="293" t="str">
        <f t="shared" ca="1" si="71"/>
        <v>---</v>
      </c>
      <c r="AM40" s="293" t="str">
        <f t="shared" ca="1" si="72"/>
        <v>---</v>
      </c>
      <c r="AN40" s="294" t="str">
        <f t="shared" ca="1" si="79"/>
        <v>---</v>
      </c>
      <c r="AO40" s="294" t="str">
        <f t="shared" ca="1" si="80"/>
        <v>---</v>
      </c>
      <c r="AP40" s="294" t="str">
        <f t="shared" ca="1" si="81"/>
        <v>---</v>
      </c>
      <c r="AS40" s="41"/>
    </row>
    <row r="41" spans="2:54" ht="18" customHeight="1" thickBot="1" x14ac:dyDescent="0.35">
      <c r="J41" s="334"/>
      <c r="K41" s="334"/>
      <c r="L41" s="360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K41" s="334"/>
      <c r="AN41" s="8"/>
    </row>
    <row r="42" spans="2:54" ht="25" customHeight="1" thickBot="1" x14ac:dyDescent="0.45">
      <c r="B42" s="800" t="s">
        <v>107</v>
      </c>
      <c r="C42" s="801"/>
      <c r="D42" s="801"/>
      <c r="E42" s="122"/>
      <c r="F42" s="122"/>
      <c r="G42" s="121"/>
      <c r="J42" s="334"/>
      <c r="K42" s="334"/>
      <c r="L42" s="36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M42" s="334"/>
      <c r="AP42" s="8"/>
    </row>
    <row r="43" spans="2:54" ht="18" customHeight="1" x14ac:dyDescent="0.4">
      <c r="B43" s="395" t="s">
        <v>28</v>
      </c>
      <c r="C43" s="396"/>
      <c r="D43" s="114">
        <f>1000*$D$30/VLOOKUP(D31,TemperGrafik,3,FALSE)+G43</f>
        <v>5.5769230769230766</v>
      </c>
      <c r="E43" s="114">
        <f>D43</f>
        <v>5.5769230769230766</v>
      </c>
      <c r="F43" s="90"/>
      <c r="G43" s="114">
        <f>1000*$G$30/(G46-5)</f>
        <v>3.0769230769230771</v>
      </c>
      <c r="J43" s="334"/>
      <c r="K43" s="334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M43" s="334"/>
      <c r="AP43" s="8"/>
    </row>
    <row r="44" spans="2:54" ht="18" customHeight="1" x14ac:dyDescent="0.4">
      <c r="B44" s="336" t="s">
        <v>27</v>
      </c>
      <c r="C44" s="337"/>
      <c r="D44" s="89">
        <f>1000*$D$30/VLOOKUP(D31,TemperGrafik,3,FALSE)*0.5+G44</f>
        <v>1.3730769230769231</v>
      </c>
      <c r="E44" s="89">
        <f>D44</f>
        <v>1.3730769230769231</v>
      </c>
      <c r="F44" s="90"/>
      <c r="G44" s="89">
        <f>G43*0.04</f>
        <v>0.12307692307692308</v>
      </c>
      <c r="J44" s="334"/>
      <c r="K44" s="334"/>
      <c r="L44" s="41"/>
      <c r="M44" s="41"/>
      <c r="N44" s="41"/>
      <c r="O44" s="335"/>
      <c r="P44" s="335"/>
      <c r="Q44" s="41"/>
      <c r="R44" s="335"/>
      <c r="S44" s="335"/>
      <c r="T44" s="41"/>
      <c r="U44" s="41"/>
      <c r="V44" s="41"/>
      <c r="W44" s="41"/>
      <c r="X44" s="41"/>
      <c r="Y44" s="41"/>
      <c r="Z44" s="41"/>
      <c r="AA44" s="41"/>
      <c r="AM44" s="334"/>
      <c r="AP44" s="8"/>
    </row>
    <row r="45" spans="2:54" ht="18" customHeight="1" x14ac:dyDescent="0.3">
      <c r="D45" s="11"/>
      <c r="E45" s="11"/>
      <c r="J45" s="334"/>
      <c r="K45" s="334"/>
      <c r="L45" s="41"/>
      <c r="M45" s="41"/>
      <c r="N45" s="41"/>
      <c r="O45" s="313"/>
      <c r="P45" s="314"/>
      <c r="Q45" s="41"/>
      <c r="R45" s="314"/>
      <c r="S45" s="314"/>
      <c r="T45" s="41"/>
      <c r="U45" s="41"/>
      <c r="V45" s="41"/>
      <c r="W45" s="41"/>
      <c r="X45" s="41"/>
      <c r="Y45" s="41"/>
      <c r="Z45" s="41"/>
      <c r="AA45" s="41"/>
      <c r="AM45" s="334"/>
      <c r="AP45" s="8"/>
    </row>
    <row r="46" spans="2:54" ht="18" customHeight="1" x14ac:dyDescent="0.4">
      <c r="B46" s="336" t="s">
        <v>29</v>
      </c>
      <c r="C46" s="337"/>
      <c r="D46" s="34">
        <f>VLOOKUP(D31,TemperGrafik,2,FALSE)</f>
        <v>150</v>
      </c>
      <c r="E46" s="34">
        <f>VLOOKUP(D31,TemperGrafik,4,FALSE)</f>
        <v>70</v>
      </c>
      <c r="G46" s="34">
        <f>G31</f>
        <v>70</v>
      </c>
      <c r="J46" s="334"/>
      <c r="K46" s="334"/>
      <c r="L46" s="41"/>
      <c r="M46" s="41"/>
      <c r="N46" s="41"/>
      <c r="O46" s="316"/>
      <c r="P46" s="338"/>
      <c r="Q46" s="41"/>
      <c r="R46" s="316"/>
      <c r="S46" s="338"/>
      <c r="T46" s="41"/>
      <c r="U46" s="41"/>
      <c r="V46" s="41"/>
      <c r="W46" s="41"/>
      <c r="X46" s="41"/>
      <c r="Y46" s="41"/>
      <c r="Z46" s="41"/>
      <c r="AA46" s="41"/>
      <c r="AM46" s="334"/>
      <c r="AP46" s="41"/>
    </row>
    <row r="47" spans="2:54" ht="18" customHeight="1" x14ac:dyDescent="0.4">
      <c r="B47" s="340" t="s">
        <v>57</v>
      </c>
      <c r="C47" s="341"/>
      <c r="D47" s="89">
        <f>D73</f>
        <v>917.12617308889457</v>
      </c>
      <c r="E47" s="89">
        <f>E73</f>
        <v>977.95043612527195</v>
      </c>
      <c r="G47" s="89">
        <f>G73</f>
        <v>977.90730672512348</v>
      </c>
      <c r="J47" s="334"/>
      <c r="K47" s="334"/>
      <c r="L47" s="41"/>
      <c r="M47" s="41"/>
      <c r="N47" s="41"/>
      <c r="O47" s="9"/>
      <c r="P47" s="9"/>
      <c r="Q47" s="41"/>
      <c r="R47" s="9"/>
      <c r="S47" s="9"/>
      <c r="T47" s="41"/>
      <c r="U47" s="41"/>
      <c r="V47" s="41"/>
      <c r="W47" s="41"/>
      <c r="X47" s="41"/>
      <c r="Y47" s="41"/>
      <c r="Z47" s="41"/>
      <c r="AA47" s="41"/>
      <c r="AM47" s="334"/>
      <c r="AP47" s="41"/>
    </row>
    <row r="48" spans="2:54" ht="18" customHeight="1" x14ac:dyDescent="0.4">
      <c r="B48" s="340" t="s">
        <v>80</v>
      </c>
      <c r="C48" s="341"/>
      <c r="D48" s="89">
        <f>(D43)*1000/$D$47</f>
        <v>6.0808678680926924</v>
      </c>
      <c r="E48" s="89">
        <f>(E43)*1000/$E$47</f>
        <v>5.7026643385112132</v>
      </c>
      <c r="G48" s="89">
        <f>G43*1000/$G$47</f>
        <v>3.1464363296632558</v>
      </c>
      <c r="J48" s="334"/>
      <c r="K48" s="334"/>
      <c r="L48" s="41"/>
      <c r="M48" s="41"/>
      <c r="N48" s="41"/>
      <c r="O48" s="41"/>
      <c r="P48" s="41"/>
      <c r="Q48" s="41"/>
      <c r="R48" s="10"/>
      <c r="S48" s="10"/>
      <c r="T48" s="41"/>
      <c r="U48" s="41"/>
      <c r="V48" s="41"/>
      <c r="W48" s="41"/>
      <c r="X48" s="41"/>
      <c r="Y48" s="41"/>
      <c r="Z48" s="41"/>
      <c r="AA48" s="41"/>
      <c r="AM48" s="334"/>
      <c r="AP48" s="41"/>
    </row>
    <row r="49" spans="2:55" ht="18" customHeight="1" x14ac:dyDescent="0.4">
      <c r="B49" s="340" t="s">
        <v>79</v>
      </c>
      <c r="C49" s="341"/>
      <c r="D49" s="89">
        <f>(D44)*1000/$D$47</f>
        <v>1.4971516061442012</v>
      </c>
      <c r="E49" s="89">
        <f>(E44)*1000/$E$47</f>
        <v>1.4040352888610368</v>
      </c>
      <c r="G49" s="89">
        <f>G44*1000/$G$47</f>
        <v>0.12585745318653022</v>
      </c>
      <c r="H49" s="69"/>
      <c r="J49" s="334"/>
      <c r="K49" s="334"/>
      <c r="L49" s="41"/>
      <c r="M49" s="41"/>
      <c r="N49" s="41"/>
      <c r="O49" s="10"/>
      <c r="P49" s="10"/>
      <c r="Q49" s="41"/>
      <c r="R49" s="10"/>
      <c r="S49" s="10"/>
      <c r="T49" s="41"/>
      <c r="U49" s="41"/>
      <c r="V49" s="41"/>
      <c r="W49" s="41"/>
      <c r="X49" s="41"/>
      <c r="Y49" s="41"/>
      <c r="Z49" s="41"/>
      <c r="AA49" s="41"/>
      <c r="AM49" s="41"/>
      <c r="AP49" s="41"/>
    </row>
    <row r="50" spans="2:55" ht="25" customHeight="1" x14ac:dyDescent="0.3">
      <c r="D50" s="24" t="str">
        <f>IF(D51&gt;=3,"Большая скорость потока!","")</f>
        <v/>
      </c>
      <c r="E50" s="24" t="str">
        <f>IF(E51&gt;=3,"Большая скорость потока!","")</f>
        <v/>
      </c>
      <c r="F50" s="24"/>
      <c r="G50" s="24" t="str">
        <f>IF(G51&gt;=3,"Большая скорость потока!","")</f>
        <v/>
      </c>
      <c r="J50" s="334"/>
      <c r="K50" s="334"/>
      <c r="L50" s="41"/>
      <c r="M50" s="41"/>
      <c r="N50" s="41"/>
      <c r="O50" s="41"/>
      <c r="P50" s="41"/>
      <c r="Q50" s="41"/>
      <c r="R50" s="10"/>
      <c r="S50" s="10"/>
      <c r="T50" s="41"/>
      <c r="U50" s="41"/>
      <c r="V50" s="41"/>
      <c r="W50" s="41"/>
      <c r="X50" s="41"/>
      <c r="Y50" s="41"/>
      <c r="Z50" s="41"/>
      <c r="AA50" s="41"/>
      <c r="AM50" s="41"/>
      <c r="AP50" s="41"/>
    </row>
    <row r="51" spans="2:55" ht="18" customHeight="1" x14ac:dyDescent="0.3">
      <c r="B51" s="340" t="s">
        <v>24</v>
      </c>
      <c r="C51" s="341"/>
      <c r="D51" s="26">
        <f>M10</f>
        <v>0.8602668262183355</v>
      </c>
      <c r="E51" s="26">
        <f>M23</f>
        <v>0.80676197179371834</v>
      </c>
      <c r="G51" s="26">
        <f>M37</f>
        <v>0.695515131930316</v>
      </c>
      <c r="J51" s="334"/>
      <c r="K51" s="334"/>
      <c r="L51" s="41"/>
      <c r="M51" s="41"/>
      <c r="N51" s="41"/>
      <c r="O51" s="10"/>
      <c r="P51" s="10"/>
      <c r="Q51" s="41"/>
      <c r="R51" s="10"/>
      <c r="S51" s="10"/>
      <c r="T51" s="41"/>
      <c r="U51" s="41"/>
      <c r="V51" s="41"/>
      <c r="W51" s="41"/>
      <c r="X51" s="41"/>
      <c r="Y51" s="41"/>
      <c r="Z51" s="41"/>
      <c r="AA51" s="41"/>
      <c r="AM51" s="349"/>
      <c r="AP51" s="41"/>
    </row>
    <row r="52" spans="2:55" ht="18" customHeight="1" x14ac:dyDescent="0.3">
      <c r="B52" s="340" t="s">
        <v>25</v>
      </c>
      <c r="C52" s="341"/>
      <c r="D52" s="12">
        <f ca="1">AR5</f>
        <v>2.1002608061971082</v>
      </c>
      <c r="E52" s="12">
        <f ca="1">AR18</f>
        <v>1.9696337201995076</v>
      </c>
      <c r="G52" s="12">
        <f ca="1">AR32</f>
        <v>2.782060527721264</v>
      </c>
      <c r="J52" s="41"/>
      <c r="K52" s="334"/>
      <c r="L52" s="41"/>
      <c r="M52" s="41"/>
      <c r="N52" s="41"/>
      <c r="O52" s="10"/>
      <c r="P52" s="10"/>
      <c r="Q52" s="41"/>
      <c r="R52" s="10"/>
      <c r="S52" s="10"/>
      <c r="T52" s="41"/>
      <c r="U52" s="41"/>
      <c r="V52" s="41"/>
      <c r="W52" s="41"/>
      <c r="X52" s="41"/>
      <c r="Y52" s="41"/>
      <c r="Z52" s="41"/>
      <c r="AA52" s="41"/>
      <c r="AM52" s="18"/>
      <c r="AP52" s="41"/>
    </row>
    <row r="53" spans="2:55" ht="18" customHeight="1" x14ac:dyDescent="0.3">
      <c r="B53" s="340" t="s">
        <v>26</v>
      </c>
      <c r="C53" s="341"/>
      <c r="D53" s="12">
        <f ca="1">AR6</f>
        <v>9.4053242685897001E-2</v>
      </c>
      <c r="E53" s="12">
        <f ca="1">AR19</f>
        <v>8.2717663613345177E-2</v>
      </c>
      <c r="G53" s="12">
        <f ca="1">AR33</f>
        <v>0.39320170859325376</v>
      </c>
      <c r="J53" s="41"/>
      <c r="K53" s="41"/>
      <c r="L53" s="41"/>
      <c r="M53" s="41"/>
      <c r="N53" s="41"/>
      <c r="O53" s="10"/>
      <c r="P53" s="10"/>
      <c r="Q53" s="41"/>
      <c r="R53" s="10"/>
      <c r="S53" s="10"/>
      <c r="T53" s="41"/>
      <c r="U53" s="41"/>
      <c r="V53" s="41"/>
      <c r="W53" s="41"/>
      <c r="X53" s="41"/>
      <c r="Y53" s="41"/>
      <c r="Z53" s="41"/>
      <c r="AA53" s="41"/>
      <c r="AM53" s="37"/>
      <c r="AP53" s="41"/>
    </row>
    <row r="54" spans="2:55" ht="18" customHeight="1" x14ac:dyDescent="0.3">
      <c r="J54" s="349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M54" s="37"/>
      <c r="AP54" s="41"/>
    </row>
    <row r="55" spans="2:55" ht="18" hidden="1" customHeight="1" x14ac:dyDescent="0.3">
      <c r="J55" s="18"/>
      <c r="K55" s="349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M55" s="7"/>
      <c r="AP55" s="41"/>
    </row>
    <row r="56" spans="2:55" ht="18" hidden="1" customHeight="1" x14ac:dyDescent="0.3">
      <c r="J56" s="37"/>
      <c r="K56" s="18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M56" s="39"/>
      <c r="AP56" s="41"/>
    </row>
    <row r="57" spans="2:55" ht="18" hidden="1" customHeight="1" x14ac:dyDescent="0.3">
      <c r="C57" s="347"/>
      <c r="D57" s="347"/>
      <c r="E57" s="347"/>
      <c r="F57" s="347"/>
      <c r="G57" s="347"/>
      <c r="J57" s="37"/>
      <c r="K57" s="37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M57" s="18"/>
      <c r="AP57" s="41"/>
    </row>
    <row r="58" spans="2:55" ht="18" hidden="1" customHeight="1" x14ac:dyDescent="0.4">
      <c r="C58" s="329"/>
      <c r="D58" s="54"/>
      <c r="E58" s="54"/>
      <c r="F58" s="347"/>
      <c r="G58" s="54"/>
      <c r="I58" s="352"/>
      <c r="J58" s="7"/>
      <c r="K58" s="37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M58" s="18"/>
      <c r="AP58" s="41"/>
    </row>
    <row r="59" spans="2:55" ht="18" hidden="1" customHeight="1" x14ac:dyDescent="0.3">
      <c r="J59" s="39"/>
      <c r="K59" s="7"/>
      <c r="L59" s="258"/>
      <c r="M59" s="258"/>
      <c r="N59" s="349"/>
      <c r="O59" s="349"/>
      <c r="P59" s="349"/>
      <c r="Q59" s="258"/>
      <c r="R59" s="258"/>
      <c r="S59" s="258"/>
      <c r="T59" s="258"/>
      <c r="U59" s="349"/>
      <c r="V59" s="349"/>
      <c r="W59" s="258"/>
      <c r="X59" s="258"/>
      <c r="Y59" s="258"/>
      <c r="Z59" s="258"/>
      <c r="AA59" s="349"/>
      <c r="AM59" s="21"/>
      <c r="AP59" s="41"/>
    </row>
    <row r="60" spans="2:55" ht="18" hidden="1" customHeight="1" x14ac:dyDescent="0.3">
      <c r="K60" s="39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M60" s="18"/>
      <c r="AP60" s="41"/>
    </row>
    <row r="61" spans="2:55" ht="18" hidden="1" customHeight="1" x14ac:dyDescent="0.3">
      <c r="C61" s="6" t="s">
        <v>19</v>
      </c>
      <c r="D61" s="5">
        <f>0.00000178/(1+0.0337*$D$46+0.000221*$D$46^2)</f>
        <v>1.6141464520516888E-7</v>
      </c>
      <c r="E61" s="5">
        <f>0.00000178/(1+0.0337*$E$46+0.000221*$E$46^2)</f>
        <v>4.0072941759157111E-7</v>
      </c>
      <c r="G61" s="5">
        <f>0.00000178/(1+0.0337*$G$46+0.000221*$G$46^2)</f>
        <v>4.0072941759157111E-7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M61" s="22"/>
      <c r="AP61" s="349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</row>
    <row r="62" spans="2:55" ht="18" hidden="1" customHeight="1" x14ac:dyDescent="0.3">
      <c r="E62" s="343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M62" s="18"/>
      <c r="AP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</row>
    <row r="63" spans="2:55" ht="18" hidden="1" customHeight="1" x14ac:dyDescent="0.3">
      <c r="D63" s="354" t="str">
        <f>"Тр1 DN"&amp;D33</f>
        <v>Тр1 DN50</v>
      </c>
      <c r="E63" s="354" t="str">
        <f>"Тр2 DN"&amp;E33</f>
        <v>Тр2 DN50</v>
      </c>
      <c r="G63" s="354" t="str">
        <f>"Тр3 DN"&amp;G33</f>
        <v>Тр3 DN40</v>
      </c>
      <c r="H63" s="35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M63" s="22"/>
      <c r="AP63" s="37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</row>
    <row r="64" spans="2:55" ht="18" hidden="1" customHeight="1" x14ac:dyDescent="0.3">
      <c r="C64" s="344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P64" s="37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</row>
    <row r="65" spans="3:56" ht="18" hidden="1" customHeight="1" x14ac:dyDescent="0.3">
      <c r="C65" s="344"/>
      <c r="D65" s="355"/>
      <c r="AF65" s="18"/>
      <c r="AG65" s="18"/>
      <c r="AH65" s="18"/>
      <c r="AI65" s="18"/>
      <c r="AJ65" s="18"/>
      <c r="AK65" s="18"/>
      <c r="AL65" s="18"/>
      <c r="AN65" s="18"/>
      <c r="AO65" s="18"/>
      <c r="AP65" s="7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</row>
    <row r="66" spans="3:56" ht="18" hidden="1" customHeight="1" x14ac:dyDescent="0.3">
      <c r="D66" s="355"/>
      <c r="AI66" s="18"/>
      <c r="AJ66" s="18"/>
      <c r="AK66" s="18"/>
      <c r="AL66" s="18"/>
      <c r="AN66" s="18"/>
      <c r="AO66" s="18"/>
      <c r="AP66" s="39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41"/>
      <c r="BD66" s="8"/>
    </row>
    <row r="67" spans="3:56" ht="18" hidden="1" customHeight="1" x14ac:dyDescent="0.3">
      <c r="D67" s="87" t="s">
        <v>140</v>
      </c>
      <c r="E67" s="87" t="s">
        <v>152</v>
      </c>
      <c r="G67" s="87" t="s">
        <v>152</v>
      </c>
      <c r="AI67" s="21"/>
      <c r="AJ67" s="21"/>
      <c r="AK67" s="21"/>
      <c r="AL67" s="21"/>
      <c r="AN67" s="21"/>
      <c r="AO67" s="21"/>
      <c r="AP67" s="18"/>
      <c r="AQ67" s="18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8"/>
    </row>
    <row r="68" spans="3:56" ht="18" hidden="1" customHeight="1" x14ac:dyDescent="0.3">
      <c r="C68" s="357" t="s">
        <v>146</v>
      </c>
      <c r="D68" s="358">
        <f>D46+273.15</f>
        <v>423.15</v>
      </c>
      <c r="E68" s="358">
        <f>E46+273.15</f>
        <v>343.15</v>
      </c>
      <c r="G68" s="358">
        <f>G46+273.15</f>
        <v>343.15</v>
      </c>
      <c r="AI68" s="18"/>
      <c r="AJ68" s="18"/>
      <c r="AK68" s="18"/>
      <c r="AL68" s="18"/>
      <c r="AN68" s="18"/>
      <c r="AO68" s="18"/>
      <c r="AP68" s="18"/>
      <c r="AQ68" s="18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8"/>
    </row>
    <row r="69" spans="3:56" ht="18" hidden="1" customHeight="1" x14ac:dyDescent="0.3">
      <c r="C69" s="357" t="s">
        <v>147</v>
      </c>
      <c r="D69" s="357">
        <f>D34*0.0980665</f>
        <v>0.68646549999999995</v>
      </c>
      <c r="E69" s="357">
        <f>E34*0.0980665</f>
        <v>0.4903325</v>
      </c>
      <c r="G69" s="357">
        <f>G34*0.0980665</f>
        <v>0.392266</v>
      </c>
      <c r="AI69" s="22"/>
      <c r="AJ69" s="22"/>
      <c r="AK69" s="22"/>
      <c r="AL69" s="22"/>
      <c r="AN69" s="22"/>
      <c r="AO69" s="22"/>
      <c r="AP69" s="21"/>
      <c r="AQ69" s="2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8"/>
    </row>
    <row r="70" spans="3:56" ht="18" hidden="1" customHeight="1" x14ac:dyDescent="0.3">
      <c r="C70" s="361" t="s">
        <v>148</v>
      </c>
      <c r="D70" s="357">
        <f>1386/D68</f>
        <v>3.2754342431761789</v>
      </c>
      <c r="E70" s="357">
        <f>1386/E68</f>
        <v>4.0390499781436695</v>
      </c>
      <c r="G70" s="357">
        <f>1386/G68</f>
        <v>4.0390499781436695</v>
      </c>
      <c r="AI70" s="36"/>
      <c r="AJ70" s="36"/>
      <c r="AK70" s="36"/>
      <c r="AL70" s="36"/>
      <c r="AN70" s="36"/>
      <c r="AO70" s="18"/>
      <c r="AP70" s="18"/>
      <c r="AQ70" s="18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3:56" ht="15.45" hidden="1" x14ac:dyDescent="0.3">
      <c r="C71" s="361" t="s">
        <v>149</v>
      </c>
      <c r="D71" s="357">
        <f>D69/16.53</f>
        <v>4.1528463399879E-2</v>
      </c>
      <c r="E71" s="357">
        <f>E69/16.53</f>
        <v>2.9663188142770719E-2</v>
      </c>
      <c r="G71" s="357">
        <f>G69/16.53</f>
        <v>2.3730550514216575E-2</v>
      </c>
      <c r="AI71" s="258"/>
      <c r="AJ71" s="258"/>
      <c r="AK71" s="258"/>
      <c r="AL71" s="41"/>
      <c r="AN71" s="41"/>
      <c r="AO71" s="41"/>
      <c r="AP71" s="22"/>
      <c r="AQ71" s="22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3:56" ht="15.45" hidden="1" x14ac:dyDescent="0.4">
      <c r="C72" s="366" t="s">
        <v>150</v>
      </c>
      <c r="D72" s="366">
        <f>D71*H115*F115*D68/D69</f>
        <v>1.0903625142786899</v>
      </c>
      <c r="E72" s="366">
        <f>E71*I115*F115*E68/E69</f>
        <v>1.0225467089744245</v>
      </c>
      <c r="G72" s="367">
        <f>G71*J115*F115*G68/G69</f>
        <v>1.022591807140558</v>
      </c>
      <c r="AI72" s="258"/>
      <c r="AJ72" s="258"/>
      <c r="AK72" s="258"/>
      <c r="AL72" s="41"/>
      <c r="AN72" s="41"/>
      <c r="AO72" s="41"/>
      <c r="AP72" s="18"/>
      <c r="AQ72" s="18"/>
      <c r="AR72" s="369"/>
      <c r="AS72" s="369"/>
      <c r="AT72" s="369"/>
      <c r="AU72" s="369"/>
      <c r="AV72" s="369"/>
      <c r="AW72" s="41"/>
      <c r="AX72" s="41"/>
      <c r="AY72" s="41"/>
      <c r="AZ72" s="41"/>
      <c r="BA72" s="41"/>
      <c r="BB72" s="41"/>
      <c r="BC72" s="41"/>
      <c r="BD72" s="41"/>
    </row>
    <row r="73" spans="3:56" ht="15.45" hidden="1" x14ac:dyDescent="0.4">
      <c r="C73" s="88"/>
      <c r="D73" s="368">
        <f>1/D72*1000</f>
        <v>917.12617308889457</v>
      </c>
      <c r="E73" s="368">
        <f>1/E72*1000</f>
        <v>977.95043612527195</v>
      </c>
      <c r="G73" s="368">
        <f>1/G72*1000</f>
        <v>977.90730672512348</v>
      </c>
      <c r="AI73" s="360"/>
      <c r="AJ73" s="360"/>
      <c r="AK73" s="360"/>
      <c r="AL73" s="41"/>
      <c r="AN73" s="41"/>
      <c r="AO73" s="41"/>
      <c r="AP73" s="22"/>
      <c r="AQ73" s="41"/>
      <c r="AR73" s="335"/>
      <c r="AS73" s="335"/>
      <c r="AT73" s="41"/>
      <c r="AU73" s="335"/>
      <c r="AV73" s="335"/>
      <c r="AW73" s="41"/>
      <c r="AX73" s="41"/>
      <c r="AY73" s="41"/>
      <c r="AZ73" s="41"/>
      <c r="BA73" s="41"/>
      <c r="BB73" s="41"/>
      <c r="BC73" s="41"/>
      <c r="BD73" s="41"/>
    </row>
    <row r="74" spans="3:56" ht="15.45" hidden="1" x14ac:dyDescent="0.3">
      <c r="AI74" s="360"/>
      <c r="AJ74" s="360"/>
      <c r="AK74" s="360"/>
      <c r="AL74" s="41"/>
      <c r="AN74" s="41"/>
      <c r="AO74" s="41"/>
      <c r="AQ74" s="41"/>
      <c r="AR74" s="313"/>
      <c r="AS74" s="314"/>
      <c r="AT74" s="41"/>
      <c r="AU74" s="314"/>
      <c r="AV74" s="314"/>
      <c r="AW74" s="41"/>
      <c r="AX74" s="41"/>
      <c r="AY74" s="41"/>
      <c r="AZ74" s="41"/>
      <c r="BA74" s="41"/>
      <c r="BB74" s="41"/>
      <c r="BC74" s="41"/>
      <c r="BD74" s="41"/>
    </row>
    <row r="75" spans="3:56" ht="12.75" hidden="1" customHeight="1" x14ac:dyDescent="0.35">
      <c r="AI75" s="41"/>
      <c r="AJ75" s="41"/>
      <c r="AK75" s="41"/>
      <c r="AL75" s="41"/>
      <c r="AN75" s="41"/>
      <c r="AO75" s="41"/>
      <c r="AQ75" s="41"/>
      <c r="AR75" s="316"/>
      <c r="AS75" s="338"/>
      <c r="AT75" s="41"/>
      <c r="AU75" s="316"/>
      <c r="AV75" s="338"/>
      <c r="AW75" s="41"/>
      <c r="AX75" s="41"/>
      <c r="AY75" s="41"/>
      <c r="AZ75" s="41"/>
      <c r="BA75" s="41"/>
      <c r="BB75" s="41"/>
      <c r="BC75" s="41"/>
      <c r="BD75" s="41"/>
    </row>
    <row r="76" spans="3:56" ht="15" hidden="1" x14ac:dyDescent="0.3">
      <c r="AJ76" s="334"/>
      <c r="AK76" s="334"/>
      <c r="AL76" s="334"/>
      <c r="AN76" s="41"/>
      <c r="AO76" s="41"/>
      <c r="AP76" s="258"/>
      <c r="AQ76" s="41"/>
      <c r="AR76" s="9"/>
      <c r="AS76" s="9"/>
      <c r="AT76" s="41"/>
      <c r="AU76" s="9"/>
      <c r="AV76" s="9"/>
      <c r="AW76" s="41"/>
      <c r="AX76" s="41"/>
      <c r="AY76" s="41"/>
      <c r="AZ76" s="41"/>
      <c r="BA76" s="41"/>
      <c r="BB76" s="41"/>
      <c r="BC76" s="41"/>
      <c r="BD76" s="41"/>
    </row>
    <row r="77" spans="3:56" ht="15" hidden="1" x14ac:dyDescent="0.3">
      <c r="AJ77" s="334"/>
      <c r="AK77" s="334"/>
      <c r="AL77" s="334"/>
      <c r="AN77" s="41"/>
      <c r="AO77" s="41"/>
      <c r="AP77" s="343"/>
      <c r="AQ77" s="41"/>
      <c r="AR77" s="41"/>
      <c r="AS77" s="41"/>
      <c r="AT77" s="41"/>
      <c r="AU77" s="10"/>
      <c r="AV77" s="10"/>
      <c r="AW77" s="41"/>
      <c r="AX77" s="41"/>
      <c r="AY77" s="41"/>
      <c r="AZ77" s="41"/>
      <c r="BA77" s="41"/>
      <c r="BB77" s="41"/>
      <c r="BC77" s="41"/>
      <c r="BD77" s="41"/>
    </row>
    <row r="78" spans="3:56" ht="15.75" hidden="1" customHeight="1" x14ac:dyDescent="0.3">
      <c r="AJ78" s="334"/>
      <c r="AK78" s="334"/>
      <c r="AL78" s="334"/>
      <c r="AN78" s="41"/>
      <c r="AO78" s="41"/>
      <c r="AQ78" s="41"/>
      <c r="AR78" s="10"/>
      <c r="AS78" s="10"/>
      <c r="AT78" s="41"/>
      <c r="AU78" s="10"/>
      <c r="AV78" s="10"/>
      <c r="AW78" s="41"/>
      <c r="AX78" s="41"/>
      <c r="AY78" s="41"/>
      <c r="AZ78" s="41"/>
      <c r="BA78" s="41"/>
      <c r="BB78" s="41"/>
      <c r="BC78" s="41"/>
      <c r="BD78" s="41"/>
    </row>
    <row r="79" spans="3:56" ht="15" hidden="1" x14ac:dyDescent="0.3">
      <c r="AJ79" s="334"/>
      <c r="AK79" s="334"/>
      <c r="AL79" s="334"/>
      <c r="AN79" s="41"/>
      <c r="AO79" s="41"/>
      <c r="AQ79" s="41"/>
      <c r="AR79" s="41"/>
      <c r="AS79" s="41"/>
      <c r="AT79" s="41"/>
      <c r="AU79" s="10"/>
      <c r="AV79" s="10"/>
      <c r="AW79" s="41"/>
      <c r="AX79" s="41"/>
      <c r="AY79" s="41"/>
      <c r="AZ79" s="41"/>
      <c r="BA79" s="41"/>
      <c r="BB79" s="41"/>
      <c r="BC79" s="41"/>
      <c r="BD79" s="41"/>
    </row>
    <row r="80" spans="3:56" ht="17.149999999999999" hidden="1" x14ac:dyDescent="0.5">
      <c r="C80" s="370" t="s">
        <v>141</v>
      </c>
      <c r="D80" s="370" t="s">
        <v>142</v>
      </c>
      <c r="E80" s="370" t="s">
        <v>143</v>
      </c>
      <c r="F80" s="371" t="s">
        <v>144</v>
      </c>
      <c r="G80" s="372"/>
      <c r="H80" s="373" t="s">
        <v>145</v>
      </c>
      <c r="I80" s="373" t="s">
        <v>145</v>
      </c>
      <c r="J80" s="373" t="s">
        <v>145</v>
      </c>
      <c r="AJ80" s="334"/>
      <c r="AK80" s="334"/>
      <c r="AL80" s="334"/>
      <c r="AN80" s="41"/>
      <c r="AO80" s="41"/>
      <c r="AQ80" s="41"/>
      <c r="AR80" s="10"/>
      <c r="AS80" s="10"/>
      <c r="AT80" s="41"/>
      <c r="AU80" s="10"/>
      <c r="AV80" s="10"/>
      <c r="AW80" s="41"/>
      <c r="AX80" s="41"/>
      <c r="AY80" s="41"/>
      <c r="AZ80" s="41"/>
      <c r="BA80" s="41"/>
      <c r="BB80" s="41"/>
      <c r="BC80" s="41"/>
      <c r="BD80" s="41"/>
    </row>
    <row r="81" spans="3:56" ht="15" hidden="1" x14ac:dyDescent="0.3">
      <c r="C81" s="357">
        <v>1</v>
      </c>
      <c r="D81" s="357">
        <v>0</v>
      </c>
      <c r="E81" s="357">
        <v>-2</v>
      </c>
      <c r="F81" s="374">
        <v>0.14632971213167001</v>
      </c>
      <c r="G81" s="375"/>
      <c r="H81" s="376">
        <f t="shared" ref="H81:H114" si="82">-F81*D81*(7.1-$D$71)^(D81-1)*($D$70-1.222)^E81</f>
        <v>0</v>
      </c>
      <c r="I81" s="376">
        <f t="shared" ref="I81:I114" si="83">-F81*D81*(7.1-$E$71)^(D81-1)*($E$70-1.222)^E81</f>
        <v>0</v>
      </c>
      <c r="J81" s="377">
        <f t="shared" ref="J81:J114" si="84">-F81*D81*(7.1-$G$71)^(D81-1)*($G$70-1.222)^E81</f>
        <v>0</v>
      </c>
      <c r="AJ81" s="334"/>
      <c r="AK81" s="334"/>
      <c r="AL81" s="334"/>
      <c r="AN81" s="41"/>
      <c r="AO81" s="41"/>
      <c r="AQ81" s="41"/>
      <c r="AR81" s="10"/>
      <c r="AS81" s="10"/>
      <c r="AT81" s="41"/>
      <c r="AU81" s="10"/>
      <c r="AV81" s="10"/>
      <c r="AW81" s="41"/>
      <c r="AX81" s="41"/>
      <c r="AY81" s="41"/>
      <c r="AZ81" s="41"/>
      <c r="BA81" s="41"/>
      <c r="BB81" s="41"/>
      <c r="BC81" s="41"/>
      <c r="BD81" s="41"/>
    </row>
    <row r="82" spans="3:56" ht="15" hidden="1" x14ac:dyDescent="0.3">
      <c r="C82" s="357">
        <v>2</v>
      </c>
      <c r="D82" s="357">
        <v>0</v>
      </c>
      <c r="E82" s="357">
        <v>-1</v>
      </c>
      <c r="F82" s="374">
        <v>-0.84548187169113997</v>
      </c>
      <c r="G82" s="375"/>
      <c r="H82" s="376">
        <f t="shared" si="82"/>
        <v>0</v>
      </c>
      <c r="I82" s="376">
        <f t="shared" si="83"/>
        <v>0</v>
      </c>
      <c r="J82" s="377">
        <f t="shared" si="84"/>
        <v>0</v>
      </c>
      <c r="AJ82" s="334"/>
      <c r="AK82" s="334"/>
      <c r="AL82" s="334"/>
      <c r="AM82" s="8"/>
      <c r="AN82" s="41"/>
      <c r="AO82" s="41"/>
      <c r="AQ82" s="41"/>
      <c r="AR82" s="10"/>
      <c r="AS82" s="10"/>
      <c r="AT82" s="41"/>
      <c r="AU82" s="10"/>
      <c r="AV82" s="10"/>
      <c r="AW82" s="41"/>
      <c r="AX82" s="41"/>
      <c r="AY82" s="41"/>
      <c r="AZ82" s="41"/>
      <c r="BA82" s="41"/>
      <c r="BB82" s="41"/>
      <c r="BC82" s="41"/>
      <c r="BD82" s="41"/>
    </row>
    <row r="83" spans="3:56" hidden="1" x14ac:dyDescent="0.3">
      <c r="C83" s="357">
        <v>3</v>
      </c>
      <c r="D83" s="357">
        <v>0</v>
      </c>
      <c r="E83" s="357">
        <v>0</v>
      </c>
      <c r="F83" s="374">
        <v>-3.756360367204</v>
      </c>
      <c r="G83" s="375"/>
      <c r="H83" s="376">
        <f t="shared" si="82"/>
        <v>0</v>
      </c>
      <c r="I83" s="376">
        <f t="shared" si="83"/>
        <v>0</v>
      </c>
      <c r="J83" s="377">
        <f t="shared" si="84"/>
        <v>0</v>
      </c>
      <c r="AJ83" s="334"/>
      <c r="AK83" s="334"/>
      <c r="AL83" s="334"/>
      <c r="AM83" s="8"/>
      <c r="AN83" s="41"/>
      <c r="AO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  <row r="84" spans="3:56" hidden="1" x14ac:dyDescent="0.3">
      <c r="C84" s="357">
        <v>4</v>
      </c>
      <c r="D84" s="357">
        <v>0</v>
      </c>
      <c r="E84" s="357">
        <v>1</v>
      </c>
      <c r="F84" s="374">
        <v>3.3855169168385002</v>
      </c>
      <c r="G84" s="375"/>
      <c r="H84" s="376">
        <f t="shared" si="82"/>
        <v>0</v>
      </c>
      <c r="I84" s="376">
        <f t="shared" si="83"/>
        <v>0</v>
      </c>
      <c r="J84" s="377">
        <f t="shared" si="84"/>
        <v>0</v>
      </c>
      <c r="AJ84" s="334"/>
      <c r="AK84" s="334"/>
      <c r="AL84" s="334"/>
      <c r="AM84" s="8"/>
      <c r="AN84" s="41"/>
      <c r="AO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</row>
    <row r="85" spans="3:56" hidden="1" x14ac:dyDescent="0.3">
      <c r="C85" s="357">
        <v>5</v>
      </c>
      <c r="D85" s="357">
        <v>0</v>
      </c>
      <c r="E85" s="357">
        <v>2</v>
      </c>
      <c r="F85" s="374">
        <v>-0.95791963387872003</v>
      </c>
      <c r="G85" s="375"/>
      <c r="H85" s="376">
        <f t="shared" si="82"/>
        <v>0</v>
      </c>
      <c r="I85" s="376">
        <f t="shared" si="83"/>
        <v>0</v>
      </c>
      <c r="J85" s="377">
        <f t="shared" si="84"/>
        <v>0</v>
      </c>
      <c r="AJ85" s="334"/>
      <c r="AK85" s="334"/>
      <c r="AL85" s="334"/>
      <c r="AM85" s="417"/>
      <c r="AN85" s="41"/>
      <c r="AO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</row>
    <row r="86" spans="3:56" hidden="1" x14ac:dyDescent="0.3">
      <c r="C86" s="357">
        <v>6</v>
      </c>
      <c r="D86" s="357">
        <v>0</v>
      </c>
      <c r="E86" s="357">
        <v>3</v>
      </c>
      <c r="F86" s="374">
        <v>0.15772038513228001</v>
      </c>
      <c r="G86" s="375"/>
      <c r="H86" s="376">
        <f t="shared" si="82"/>
        <v>0</v>
      </c>
      <c r="I86" s="376">
        <f t="shared" si="83"/>
        <v>0</v>
      </c>
      <c r="J86" s="377">
        <f t="shared" si="84"/>
        <v>0</v>
      </c>
      <c r="AJ86" s="334"/>
      <c r="AK86" s="334"/>
      <c r="AL86" s="334"/>
      <c r="AM86" s="8"/>
      <c r="AN86" s="41"/>
      <c r="AO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</row>
    <row r="87" spans="3:56" hidden="1" x14ac:dyDescent="0.3">
      <c r="C87" s="357">
        <v>7</v>
      </c>
      <c r="D87" s="357">
        <v>0</v>
      </c>
      <c r="E87" s="357">
        <v>4</v>
      </c>
      <c r="F87" s="374">
        <v>-1.6616417199501E-2</v>
      </c>
      <c r="G87" s="375"/>
      <c r="H87" s="376">
        <f t="shared" si="82"/>
        <v>0</v>
      </c>
      <c r="I87" s="376">
        <f t="shared" si="83"/>
        <v>0</v>
      </c>
      <c r="J87" s="377">
        <f t="shared" si="84"/>
        <v>0</v>
      </c>
      <c r="AJ87" s="334"/>
      <c r="AK87" s="334"/>
      <c r="AL87" s="334"/>
      <c r="AM87" s="8"/>
      <c r="AN87" s="41"/>
      <c r="AO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</row>
    <row r="88" spans="3:56" hidden="1" x14ac:dyDescent="0.3">
      <c r="C88" s="357">
        <v>8</v>
      </c>
      <c r="D88" s="357">
        <v>0</v>
      </c>
      <c r="E88" s="357">
        <v>5</v>
      </c>
      <c r="F88" s="374">
        <v>8.1214629983567997E-4</v>
      </c>
      <c r="G88" s="375"/>
      <c r="H88" s="376">
        <f t="shared" si="82"/>
        <v>0</v>
      </c>
      <c r="I88" s="376">
        <f t="shared" si="83"/>
        <v>0</v>
      </c>
      <c r="J88" s="377">
        <f t="shared" si="84"/>
        <v>0</v>
      </c>
      <c r="AJ88" s="334"/>
      <c r="AK88" s="334"/>
      <c r="AL88" s="334"/>
      <c r="AM88" s="8"/>
      <c r="AN88" s="41"/>
      <c r="AO88" s="41"/>
      <c r="AQ88" s="41"/>
      <c r="AR88" s="349"/>
      <c r="AS88" s="349"/>
      <c r="AT88" s="258"/>
      <c r="AU88" s="258"/>
      <c r="AV88" s="258"/>
      <c r="AW88" s="258"/>
      <c r="AX88" s="349"/>
      <c r="AY88" s="349"/>
      <c r="AZ88" s="258"/>
      <c r="BA88" s="258"/>
      <c r="BB88" s="258"/>
      <c r="BC88" s="258"/>
      <c r="BD88" s="349"/>
    </row>
    <row r="89" spans="3:56" ht="15" hidden="1" x14ac:dyDescent="0.3">
      <c r="C89" s="357">
        <v>9</v>
      </c>
      <c r="D89" s="357">
        <v>1</v>
      </c>
      <c r="E89" s="357">
        <v>-9</v>
      </c>
      <c r="F89" s="374">
        <v>2.8319080123804E-4</v>
      </c>
      <c r="G89" s="375"/>
      <c r="H89" s="376">
        <f t="shared" si="82"/>
        <v>-4.3626657632714847E-7</v>
      </c>
      <c r="I89" s="376">
        <f t="shared" si="83"/>
        <v>-2.534709392903721E-8</v>
      </c>
      <c r="J89" s="377">
        <f t="shared" si="84"/>
        <v>-2.534709392903721E-8</v>
      </c>
      <c r="AJ89" s="334"/>
      <c r="AK89" s="334"/>
      <c r="AL89" s="334"/>
      <c r="AM89" s="8"/>
      <c r="AN89" s="41"/>
      <c r="AO89" s="41"/>
      <c r="AQ89" s="41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</row>
    <row r="90" spans="3:56" ht="15" hidden="1" x14ac:dyDescent="0.3">
      <c r="C90" s="357">
        <v>10</v>
      </c>
      <c r="D90" s="357">
        <v>1</v>
      </c>
      <c r="E90" s="357">
        <v>-7</v>
      </c>
      <c r="F90" s="374">
        <v>-6.0706301565873996E-4</v>
      </c>
      <c r="G90" s="375"/>
      <c r="H90" s="376">
        <f t="shared" si="82"/>
        <v>3.9433758693388875E-6</v>
      </c>
      <c r="I90" s="376">
        <f t="shared" si="83"/>
        <v>4.3119320756857168E-7</v>
      </c>
      <c r="J90" s="377">
        <f t="shared" si="84"/>
        <v>4.3119320756857168E-7</v>
      </c>
      <c r="AJ90" s="41"/>
      <c r="AK90" s="41"/>
      <c r="AL90" s="41"/>
      <c r="AN90" s="41"/>
      <c r="AO90" s="41"/>
      <c r="AQ90" s="41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</row>
    <row r="91" spans="3:56" ht="15" hidden="1" x14ac:dyDescent="0.3">
      <c r="C91" s="357">
        <v>11</v>
      </c>
      <c r="D91" s="357">
        <v>1</v>
      </c>
      <c r="E91" s="357">
        <v>-1</v>
      </c>
      <c r="F91" s="374">
        <v>-1.8990068218419E-2</v>
      </c>
      <c r="G91" s="375"/>
      <c r="H91" s="376">
        <f t="shared" si="82"/>
        <v>9.2479553613783322E-3</v>
      </c>
      <c r="I91" s="376">
        <f t="shared" si="83"/>
        <v>6.7411186758329173E-3</v>
      </c>
      <c r="J91" s="377">
        <f t="shared" si="84"/>
        <v>6.7411186758329173E-3</v>
      </c>
      <c r="M91" s="346"/>
      <c r="N91" s="345"/>
      <c r="O91" s="258"/>
      <c r="P91" s="41"/>
      <c r="Q91" s="41"/>
      <c r="R91" s="41"/>
      <c r="S91" s="41"/>
      <c r="T91" s="41"/>
      <c r="U91" s="258"/>
      <c r="V91" s="41"/>
      <c r="W91" s="41"/>
      <c r="X91" s="41"/>
      <c r="Y91" s="41"/>
      <c r="Z91" s="41"/>
      <c r="AA91" s="258"/>
      <c r="AB91" s="41"/>
      <c r="AC91" s="41"/>
      <c r="AD91" s="41"/>
      <c r="AE91" s="41"/>
      <c r="AF91" s="41"/>
      <c r="AG91" s="258"/>
      <c r="AH91" s="41"/>
      <c r="AI91" s="41"/>
      <c r="AJ91" s="41"/>
      <c r="AK91" s="41"/>
      <c r="AL91" s="41"/>
      <c r="AN91" s="41"/>
      <c r="AO91" s="41"/>
      <c r="AQ91" s="41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</row>
    <row r="92" spans="3:56" ht="15" hidden="1" x14ac:dyDescent="0.3">
      <c r="C92" s="357">
        <v>12</v>
      </c>
      <c r="D92" s="357">
        <v>1</v>
      </c>
      <c r="E92" s="357">
        <v>0</v>
      </c>
      <c r="F92" s="374">
        <v>-3.2529748770504997E-2</v>
      </c>
      <c r="G92" s="375"/>
      <c r="H92" s="376">
        <f t="shared" si="82"/>
        <v>3.2529748770504997E-2</v>
      </c>
      <c r="I92" s="376">
        <f t="shared" si="83"/>
        <v>3.2529748770504997E-2</v>
      </c>
      <c r="J92" s="377">
        <f t="shared" si="84"/>
        <v>3.2529748770504997E-2</v>
      </c>
      <c r="M92" s="41"/>
      <c r="N92" s="34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N92" s="258"/>
      <c r="AO92" s="258"/>
      <c r="AQ92" s="41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</row>
    <row r="93" spans="3:56" ht="15" hidden="1" x14ac:dyDescent="0.3">
      <c r="C93" s="357">
        <v>13</v>
      </c>
      <c r="D93" s="357">
        <v>1</v>
      </c>
      <c r="E93" s="357">
        <v>1</v>
      </c>
      <c r="F93" s="374">
        <v>-2.1841717175413999E-2</v>
      </c>
      <c r="G93" s="375"/>
      <c r="H93" s="376">
        <f t="shared" si="82"/>
        <v>4.4850529977764397E-2</v>
      </c>
      <c r="I93" s="376">
        <f t="shared" si="83"/>
        <v>6.1529208891620217E-2</v>
      </c>
      <c r="J93" s="377">
        <f t="shared" si="84"/>
        <v>6.1529208891620217E-2</v>
      </c>
      <c r="M93" s="350"/>
      <c r="N93" s="37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N93" s="18"/>
      <c r="AO93" s="18"/>
      <c r="AQ93" s="41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</row>
    <row r="94" spans="3:56" ht="15" hidden="1" x14ac:dyDescent="0.3">
      <c r="C94" s="357">
        <v>14</v>
      </c>
      <c r="D94" s="357">
        <v>1</v>
      </c>
      <c r="E94" s="357">
        <v>3</v>
      </c>
      <c r="F94" s="374">
        <v>-5.2838357969930002E-5</v>
      </c>
      <c r="G94" s="375"/>
      <c r="H94" s="376">
        <f t="shared" si="82"/>
        <v>4.5750064743828984E-4</v>
      </c>
      <c r="I94" s="376">
        <f t="shared" si="83"/>
        <v>1.1812259215529407E-3</v>
      </c>
      <c r="J94" s="377">
        <f t="shared" si="84"/>
        <v>1.1812259215529407E-3</v>
      </c>
      <c r="M94" s="351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N94" s="37"/>
      <c r="AO94" s="37"/>
      <c r="AQ94" s="349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</row>
    <row r="95" spans="3:56" ht="15" hidden="1" x14ac:dyDescent="0.3">
      <c r="C95" s="357">
        <v>15</v>
      </c>
      <c r="D95" s="357">
        <v>2</v>
      </c>
      <c r="E95" s="357">
        <v>-3</v>
      </c>
      <c r="F95" s="374">
        <v>-4.7184321073266998E-4</v>
      </c>
      <c r="G95" s="375"/>
      <c r="H95" s="376">
        <f t="shared" si="82"/>
        <v>7.6930042731410445E-4</v>
      </c>
      <c r="I95" s="376">
        <f t="shared" si="83"/>
        <v>2.9845863815808034E-4</v>
      </c>
      <c r="J95" s="377">
        <f t="shared" si="84"/>
        <v>2.9870907134032051E-4</v>
      </c>
      <c r="M95" s="351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N95" s="37"/>
      <c r="AO95" s="37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</row>
    <row r="96" spans="3:56" ht="15.45" hidden="1" x14ac:dyDescent="0.3">
      <c r="C96" s="357">
        <v>16</v>
      </c>
      <c r="D96" s="357">
        <v>2</v>
      </c>
      <c r="E96" s="357">
        <v>0</v>
      </c>
      <c r="F96" s="374">
        <v>-3.0001780793025999E-4</v>
      </c>
      <c r="G96" s="375"/>
      <c r="H96" s="376">
        <f t="shared" si="82"/>
        <v>4.2353343154978044E-3</v>
      </c>
      <c r="I96" s="376">
        <f t="shared" si="83"/>
        <v>4.2424539032440579E-3</v>
      </c>
      <c r="J96" s="377">
        <f t="shared" si="84"/>
        <v>4.2460136971171842E-3</v>
      </c>
      <c r="M96" s="351"/>
      <c r="N96" s="38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N96" s="7"/>
      <c r="AO96" s="7"/>
      <c r="AQ96" s="37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</row>
    <row r="97" spans="3:56" ht="15" hidden="1" x14ac:dyDescent="0.3">
      <c r="C97" s="357">
        <v>17</v>
      </c>
      <c r="D97" s="357">
        <v>2</v>
      </c>
      <c r="E97" s="357">
        <v>1</v>
      </c>
      <c r="F97" s="374">
        <v>4.7661393906987001E-5</v>
      </c>
      <c r="G97" s="375"/>
      <c r="H97" s="376">
        <f t="shared" si="82"/>
        <v>-1.3816187011501634E-3</v>
      </c>
      <c r="I97" s="376">
        <f t="shared" si="83"/>
        <v>-1.8985908790791187E-3</v>
      </c>
      <c r="J97" s="377">
        <f t="shared" si="84"/>
        <v>-1.9001839646689829E-3</v>
      </c>
      <c r="M97" s="350"/>
      <c r="N97" s="37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N97" s="39"/>
      <c r="AO97" s="39"/>
      <c r="AQ97" s="37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</row>
    <row r="98" spans="3:56" ht="15.45" hidden="1" x14ac:dyDescent="0.3">
      <c r="C98" s="357">
        <v>18</v>
      </c>
      <c r="D98" s="357">
        <v>2</v>
      </c>
      <c r="E98" s="357">
        <v>3</v>
      </c>
      <c r="F98" s="374">
        <v>-4.4141845330845997E-6</v>
      </c>
      <c r="G98" s="375"/>
      <c r="H98" s="376">
        <f t="shared" si="82"/>
        <v>5.3955230015168248E-4</v>
      </c>
      <c r="I98" s="376">
        <f t="shared" si="83"/>
        <v>1.3954177381040739E-3</v>
      </c>
      <c r="J98" s="377">
        <f t="shared" si="84"/>
        <v>1.39658861694633E-3</v>
      </c>
      <c r="M98" s="258"/>
      <c r="N98" s="37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N98" s="18"/>
      <c r="AO98" s="18"/>
      <c r="AQ98" s="7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</row>
    <row r="99" spans="3:56" ht="15.45" hidden="1" x14ac:dyDescent="0.3">
      <c r="C99" s="357">
        <v>19</v>
      </c>
      <c r="D99" s="357">
        <v>2</v>
      </c>
      <c r="E99" s="357">
        <v>17</v>
      </c>
      <c r="F99" s="374">
        <v>-7.2694996297594001E-16</v>
      </c>
      <c r="G99" s="375"/>
      <c r="H99" s="376">
        <f t="shared" si="82"/>
        <v>2.1058080582966695E-9</v>
      </c>
      <c r="I99" s="376">
        <f t="shared" si="83"/>
        <v>4.5549330865626397E-7</v>
      </c>
      <c r="J99" s="377">
        <f t="shared" si="84"/>
        <v>4.5587550780948634E-7</v>
      </c>
      <c r="M99" s="353"/>
      <c r="N99" s="3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N99" s="18"/>
      <c r="AO99" s="18"/>
      <c r="AQ99" s="39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8"/>
    </row>
    <row r="100" spans="3:56" ht="15.45" hidden="1" x14ac:dyDescent="0.3">
      <c r="C100" s="357">
        <v>20</v>
      </c>
      <c r="D100" s="357">
        <v>3</v>
      </c>
      <c r="E100" s="357">
        <v>-4</v>
      </c>
      <c r="F100" s="374">
        <v>-3.1679644845054002E-5</v>
      </c>
      <c r="G100" s="375"/>
      <c r="H100" s="376">
        <f t="shared" si="82"/>
        <v>2.6631749313072291E-4</v>
      </c>
      <c r="I100" s="376">
        <f t="shared" si="83"/>
        <v>7.5440326038403533E-5</v>
      </c>
      <c r="J100" s="377">
        <f t="shared" si="84"/>
        <v>7.5566981359113833E-5</v>
      </c>
      <c r="M100" s="41"/>
      <c r="N100" s="4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N100" s="21"/>
      <c r="AO100" s="21"/>
      <c r="AQ100" s="18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8"/>
    </row>
    <row r="101" spans="3:56" ht="15.45" hidden="1" x14ac:dyDescent="0.3">
      <c r="C101" s="357">
        <v>21</v>
      </c>
      <c r="D101" s="357">
        <v>3</v>
      </c>
      <c r="E101" s="357">
        <v>0</v>
      </c>
      <c r="F101" s="374">
        <v>-2.8270797985312E-6</v>
      </c>
      <c r="G101" s="375"/>
      <c r="H101" s="376">
        <f t="shared" si="82"/>
        <v>4.2255248246437864E-4</v>
      </c>
      <c r="I101" s="376">
        <f t="shared" si="83"/>
        <v>4.2397429609631021E-4</v>
      </c>
      <c r="J101" s="377">
        <f t="shared" si="84"/>
        <v>4.2468609843419604E-4</v>
      </c>
      <c r="M101" s="41"/>
      <c r="N101" s="4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N101" s="18"/>
      <c r="AO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8"/>
    </row>
    <row r="102" spans="3:56" ht="15.45" hidden="1" x14ac:dyDescent="0.3">
      <c r="C102" s="357">
        <v>22</v>
      </c>
      <c r="D102" s="357">
        <v>3</v>
      </c>
      <c r="E102" s="357">
        <v>6</v>
      </c>
      <c r="F102" s="374">
        <v>-8.5205128120103004E-10</v>
      </c>
      <c r="G102" s="375"/>
      <c r="H102" s="376">
        <f t="shared" si="82"/>
        <v>9.5475760071700162E-6</v>
      </c>
      <c r="I102" s="376">
        <f t="shared" si="83"/>
        <v>6.3860822298248741E-5</v>
      </c>
      <c r="J102" s="377">
        <f t="shared" si="84"/>
        <v>6.3968037011569192E-5</v>
      </c>
      <c r="M102" s="41"/>
      <c r="N102" s="37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N102" s="22"/>
      <c r="AO102" s="22"/>
      <c r="AQ102" s="21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8"/>
    </row>
    <row r="103" spans="3:56" ht="15" hidden="1" x14ac:dyDescent="0.3">
      <c r="C103" s="357">
        <v>23</v>
      </c>
      <c r="D103" s="357">
        <v>4</v>
      </c>
      <c r="E103" s="357">
        <v>-5</v>
      </c>
      <c r="F103" s="374">
        <v>-2.2425281907999999E-6</v>
      </c>
      <c r="G103" s="375"/>
      <c r="H103" s="376">
        <f t="shared" si="82"/>
        <v>8.6402419792349879E-5</v>
      </c>
      <c r="I103" s="376">
        <f t="shared" si="83"/>
        <v>1.7870859947547514E-5</v>
      </c>
      <c r="J103" s="377">
        <f t="shared" si="84"/>
        <v>1.7915883399113782E-5</v>
      </c>
      <c r="M103" s="41"/>
      <c r="N103" s="19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N103" s="18"/>
      <c r="AO103" s="18"/>
      <c r="AQ103" s="1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3:56" ht="15.45" hidden="1" x14ac:dyDescent="0.4">
      <c r="C104" s="357">
        <v>24</v>
      </c>
      <c r="D104" s="357">
        <v>4</v>
      </c>
      <c r="E104" s="357">
        <v>-2</v>
      </c>
      <c r="F104" s="374">
        <v>-6.5171222895601002E-7</v>
      </c>
      <c r="G104" s="375"/>
      <c r="H104" s="376">
        <f t="shared" si="82"/>
        <v>2.1741337848358344E-4</v>
      </c>
      <c r="I104" s="376">
        <f t="shared" si="83"/>
        <v>1.1610396902256198E-4</v>
      </c>
      <c r="J104" s="377">
        <f t="shared" si="84"/>
        <v>1.1639647880895624E-4</v>
      </c>
      <c r="M104" s="356"/>
      <c r="N104" s="41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N104" s="41"/>
      <c r="AO104" s="41"/>
      <c r="AQ104" s="22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</row>
    <row r="105" spans="3:56" ht="15" hidden="1" x14ac:dyDescent="0.3">
      <c r="C105" s="357">
        <v>25</v>
      </c>
      <c r="D105" s="357">
        <v>4</v>
      </c>
      <c r="E105" s="357">
        <v>10</v>
      </c>
      <c r="F105" s="374">
        <v>-1.4341729937923999E-13</v>
      </c>
      <c r="G105" s="375"/>
      <c r="H105" s="376">
        <f t="shared" si="82"/>
        <v>2.6890664574220478E-7</v>
      </c>
      <c r="I105" s="376">
        <f t="shared" si="83"/>
        <v>6.3815673985494293E-6</v>
      </c>
      <c r="J105" s="377">
        <f t="shared" si="84"/>
        <v>6.3976449791207498E-6</v>
      </c>
      <c r="M105" s="41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N105" s="41"/>
      <c r="AO105" s="41"/>
      <c r="AQ105" s="1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</row>
    <row r="106" spans="3:56" ht="15" hidden="1" x14ac:dyDescent="0.3">
      <c r="C106" s="357">
        <v>26</v>
      </c>
      <c r="D106" s="357">
        <v>5</v>
      </c>
      <c r="E106" s="357">
        <v>-8</v>
      </c>
      <c r="F106" s="374">
        <v>-4.0516996860117E-7</v>
      </c>
      <c r="G106" s="375"/>
      <c r="H106" s="376">
        <f t="shared" si="82"/>
        <v>1.5907558264501571E-5</v>
      </c>
      <c r="I106" s="376">
        <f t="shared" si="83"/>
        <v>1.2764718674668421E-6</v>
      </c>
      <c r="J106" s="377">
        <f t="shared" si="84"/>
        <v>1.2807615537983953E-6</v>
      </c>
      <c r="M106" s="359"/>
      <c r="N106" s="258"/>
      <c r="O106" s="360"/>
      <c r="P106" s="360"/>
      <c r="Q106" s="360"/>
      <c r="R106" s="360"/>
      <c r="S106" s="360"/>
      <c r="T106" s="360"/>
      <c r="U106" s="360"/>
      <c r="V106" s="360"/>
      <c r="W106" s="360"/>
      <c r="X106" s="360"/>
      <c r="Y106" s="360"/>
      <c r="Z106" s="360"/>
      <c r="AA106" s="360"/>
      <c r="AB106" s="360"/>
      <c r="AC106" s="360"/>
      <c r="AD106" s="360"/>
      <c r="AE106" s="360"/>
      <c r="AF106" s="360"/>
      <c r="AG106" s="360"/>
      <c r="AH106" s="360"/>
      <c r="AI106" s="360"/>
      <c r="AJ106" s="360"/>
      <c r="AK106" s="360"/>
      <c r="AL106" s="360"/>
      <c r="AN106" s="41"/>
      <c r="AO106" s="41"/>
      <c r="AQ106" s="21"/>
    </row>
    <row r="107" spans="3:56" ht="15" hidden="1" x14ac:dyDescent="0.3">
      <c r="C107" s="357">
        <v>27</v>
      </c>
      <c r="D107" s="357">
        <v>8</v>
      </c>
      <c r="E107" s="357">
        <v>-11</v>
      </c>
      <c r="F107" s="374">
        <v>-1.2734301741640999E-9</v>
      </c>
      <c r="G107" s="375"/>
      <c r="H107" s="376">
        <f t="shared" si="82"/>
        <v>3.249009617397459E-6</v>
      </c>
      <c r="I107" s="376">
        <f t="shared" si="83"/>
        <v>1.0148591499429698E-7</v>
      </c>
      <c r="J107" s="377">
        <f t="shared" si="84"/>
        <v>1.0208350719088606E-7</v>
      </c>
      <c r="M107" s="359"/>
      <c r="N107" s="258"/>
      <c r="O107" s="360"/>
      <c r="P107" s="360"/>
      <c r="Q107" s="360"/>
      <c r="R107" s="360"/>
      <c r="S107" s="360"/>
      <c r="T107" s="360"/>
      <c r="U107" s="360"/>
      <c r="V107" s="360"/>
      <c r="W107" s="360"/>
      <c r="X107" s="360"/>
      <c r="Y107" s="360"/>
      <c r="Z107" s="360"/>
      <c r="AA107" s="360"/>
      <c r="AB107" s="360"/>
      <c r="AC107" s="360"/>
      <c r="AD107" s="360"/>
      <c r="AE107" s="360"/>
      <c r="AF107" s="360"/>
      <c r="AG107" s="360"/>
      <c r="AH107" s="360"/>
      <c r="AI107" s="360"/>
      <c r="AJ107" s="360"/>
      <c r="AK107" s="360"/>
      <c r="AL107" s="360"/>
      <c r="AN107" s="41"/>
      <c r="AO107" s="41"/>
      <c r="AQ107" s="18"/>
    </row>
    <row r="108" spans="3:56" ht="15.45" hidden="1" x14ac:dyDescent="0.3">
      <c r="C108" s="357">
        <v>28</v>
      </c>
      <c r="D108" s="357">
        <v>8</v>
      </c>
      <c r="E108" s="357">
        <v>-6</v>
      </c>
      <c r="F108" s="374">
        <v>-1.7424871230634001E-10</v>
      </c>
      <c r="G108" s="375"/>
      <c r="H108" s="376">
        <f t="shared" si="82"/>
        <v>1.6231155491811434E-5</v>
      </c>
      <c r="I108" s="376">
        <f t="shared" si="83"/>
        <v>2.4636157546215822E-6</v>
      </c>
      <c r="J108" s="377">
        <f t="shared" si="84"/>
        <v>2.4781225711629571E-6</v>
      </c>
      <c r="M108" s="41"/>
      <c r="N108" s="362"/>
      <c r="O108" s="41"/>
      <c r="P108" s="363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N108" s="41"/>
      <c r="AO108" s="41"/>
      <c r="AQ108" s="22"/>
    </row>
    <row r="109" spans="3:56" hidden="1" x14ac:dyDescent="0.3">
      <c r="C109" s="357">
        <v>29</v>
      </c>
      <c r="D109" s="357">
        <v>21</v>
      </c>
      <c r="E109" s="357">
        <v>-29</v>
      </c>
      <c r="F109" s="374">
        <v>-6.8762131295530996E-19</v>
      </c>
      <c r="G109" s="375"/>
      <c r="H109" s="376">
        <f t="shared" si="82"/>
        <v>1.1798825475177741E-9</v>
      </c>
      <c r="I109" s="376">
        <f t="shared" si="83"/>
        <v>1.2715360397456955E-13</v>
      </c>
      <c r="J109" s="377">
        <f t="shared" si="84"/>
        <v>1.2930456194981081E-13</v>
      </c>
      <c r="M109" s="364"/>
      <c r="N109" s="258"/>
      <c r="O109" s="334"/>
      <c r="P109" s="334"/>
      <c r="Q109" s="365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4"/>
      <c r="AH109" s="334"/>
      <c r="AI109" s="334"/>
      <c r="AJ109" s="334"/>
      <c r="AK109" s="334"/>
      <c r="AL109" s="334"/>
      <c r="AN109" s="41"/>
      <c r="AO109" s="41"/>
      <c r="AQ109" s="8"/>
    </row>
    <row r="110" spans="3:56" hidden="1" x14ac:dyDescent="0.3">
      <c r="C110" s="357">
        <v>30</v>
      </c>
      <c r="D110" s="357">
        <v>23</v>
      </c>
      <c r="E110" s="357">
        <v>-31</v>
      </c>
      <c r="F110" s="374">
        <v>1.4478307828521001E-20</v>
      </c>
      <c r="G110" s="375"/>
      <c r="H110" s="376">
        <f t="shared" si="82"/>
        <v>-3.2149596803849298E-10</v>
      </c>
      <c r="I110" s="376">
        <f t="shared" si="83"/>
        <v>-1.8471271592683196E-14</v>
      </c>
      <c r="J110" s="377">
        <f t="shared" si="84"/>
        <v>-1.8815271288383472E-14</v>
      </c>
      <c r="M110" s="364"/>
      <c r="N110" s="258"/>
      <c r="O110" s="334"/>
      <c r="P110" s="334"/>
      <c r="Q110" s="365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  <c r="AH110" s="334"/>
      <c r="AI110" s="334"/>
      <c r="AJ110" s="334"/>
      <c r="AK110" s="334"/>
      <c r="AL110" s="334"/>
      <c r="AN110" s="41"/>
      <c r="AO110" s="41"/>
      <c r="AQ110" s="8"/>
    </row>
    <row r="111" spans="3:56" hidden="1" x14ac:dyDescent="0.3">
      <c r="C111" s="357">
        <v>31</v>
      </c>
      <c r="D111" s="357">
        <v>29</v>
      </c>
      <c r="E111" s="357">
        <v>-38</v>
      </c>
      <c r="F111" s="374">
        <v>2.6335781662795E-23</v>
      </c>
      <c r="G111" s="375"/>
      <c r="H111" s="376">
        <f t="shared" si="82"/>
        <v>-5.9234197029115603E-10</v>
      </c>
      <c r="I111" s="376">
        <f t="shared" si="83"/>
        <v>-3.7590154980877989E-15</v>
      </c>
      <c r="J111" s="377">
        <f t="shared" si="84"/>
        <v>-3.8483393259805295E-15</v>
      </c>
      <c r="M111" s="364"/>
      <c r="N111" s="258"/>
      <c r="O111" s="334"/>
      <c r="P111" s="334"/>
      <c r="Q111" s="365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  <c r="AH111" s="334"/>
      <c r="AI111" s="334"/>
      <c r="AJ111" s="334"/>
      <c r="AK111" s="334"/>
      <c r="AL111" s="334"/>
      <c r="AN111" s="41"/>
      <c r="AO111" s="41"/>
      <c r="AQ111" s="8"/>
    </row>
    <row r="112" spans="3:56" hidden="1" x14ac:dyDescent="0.3">
      <c r="C112" s="357">
        <v>32</v>
      </c>
      <c r="D112" s="357">
        <v>30</v>
      </c>
      <c r="E112" s="357">
        <v>-39</v>
      </c>
      <c r="F112" s="374">
        <v>-1.1947622640071E-23</v>
      </c>
      <c r="G112" s="375"/>
      <c r="H112" s="376">
        <f t="shared" si="82"/>
        <v>9.5556649622804292E-10</v>
      </c>
      <c r="I112" s="376">
        <f t="shared" si="83"/>
        <v>4.427700210861992E-15</v>
      </c>
      <c r="J112" s="377">
        <f t="shared" si="84"/>
        <v>4.5367172140737146E-15</v>
      </c>
      <c r="M112" s="364"/>
      <c r="N112" s="258"/>
      <c r="O112" s="334"/>
      <c r="P112" s="334"/>
      <c r="Q112" s="365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  <c r="AH112" s="334"/>
      <c r="AI112" s="334"/>
      <c r="AJ112" s="334"/>
      <c r="AK112" s="334"/>
      <c r="AL112" s="334"/>
      <c r="AN112" s="41"/>
      <c r="AO112" s="41"/>
    </row>
    <row r="113" spans="3:41" hidden="1" x14ac:dyDescent="0.3">
      <c r="C113" s="357">
        <v>33</v>
      </c>
      <c r="D113" s="357">
        <v>31</v>
      </c>
      <c r="E113" s="357">
        <v>-40</v>
      </c>
      <c r="F113" s="374">
        <v>1.8228094581404E-24</v>
      </c>
      <c r="G113" s="375"/>
      <c r="H113" s="376">
        <f t="shared" si="82"/>
        <v>-5.1783451899624831E-10</v>
      </c>
      <c r="I113" s="376">
        <f t="shared" si="83"/>
        <v>-1.7519591450029639E-15</v>
      </c>
      <c r="J113" s="377">
        <f t="shared" si="84"/>
        <v>-1.796601401958799E-15</v>
      </c>
      <c r="M113" s="364"/>
      <c r="N113" s="258"/>
      <c r="O113" s="334"/>
      <c r="P113" s="334"/>
      <c r="Q113" s="365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  <c r="AH113" s="334"/>
      <c r="AI113" s="334"/>
      <c r="AJ113" s="334"/>
      <c r="AK113" s="334"/>
      <c r="AL113" s="334"/>
      <c r="AN113" s="41"/>
      <c r="AO113" s="41"/>
    </row>
    <row r="114" spans="3:41" hidden="1" x14ac:dyDescent="0.3">
      <c r="C114" s="357">
        <v>34</v>
      </c>
      <c r="D114" s="357">
        <v>32</v>
      </c>
      <c r="E114" s="357">
        <v>-41</v>
      </c>
      <c r="F114" s="374">
        <v>-9.3537087292457998E-26</v>
      </c>
      <c r="G114" s="375"/>
      <c r="H114" s="376">
        <f t="shared" si="82"/>
        <v>9.4286978377240609E-11</v>
      </c>
      <c r="I114" s="376">
        <f t="shared" si="83"/>
        <v>2.3291656597313538E-16</v>
      </c>
      <c r="J114" s="377">
        <f t="shared" si="84"/>
        <v>2.3905200849497167E-16</v>
      </c>
      <c r="M114" s="364"/>
      <c r="N114" s="258"/>
      <c r="O114" s="334"/>
      <c r="P114" s="334"/>
      <c r="Q114" s="365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  <c r="AI114" s="334"/>
      <c r="AJ114" s="334"/>
      <c r="AK114" s="334"/>
      <c r="AL114" s="334"/>
      <c r="AN114" s="41"/>
      <c r="AO114" s="41"/>
    </row>
    <row r="115" spans="3:41" hidden="1" x14ac:dyDescent="0.3">
      <c r="C115" s="375"/>
      <c r="D115" s="375"/>
      <c r="E115" s="378" t="s">
        <v>151</v>
      </c>
      <c r="F115" s="6">
        <v>0.46152599999999999</v>
      </c>
      <c r="G115" s="375"/>
      <c r="H115" s="379">
        <f>SUM(H89:H114)</f>
        <v>9.2289703091961717E-2</v>
      </c>
      <c r="I115" s="379">
        <f>SUM(I89:I114)</f>
        <v>0.10672737641380697</v>
      </c>
      <c r="J115" s="380">
        <f>SUM(J89:J114)</f>
        <v>0.10673208349360122</v>
      </c>
      <c r="M115" s="364"/>
      <c r="N115" s="258"/>
      <c r="O115" s="334"/>
      <c r="P115" s="334"/>
      <c r="Q115" s="365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4"/>
      <c r="AL115" s="334"/>
      <c r="AN115" s="41"/>
      <c r="AO115" s="41"/>
    </row>
    <row r="116" spans="3:41" hidden="1" x14ac:dyDescent="0.3">
      <c r="M116" s="364"/>
      <c r="N116" s="258"/>
      <c r="O116" s="334"/>
      <c r="P116" s="334"/>
      <c r="Q116" s="365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  <c r="AH116" s="334"/>
      <c r="AI116" s="334"/>
      <c r="AJ116" s="334"/>
      <c r="AK116" s="334"/>
      <c r="AL116" s="334"/>
      <c r="AN116" s="41"/>
      <c r="AO116" s="41"/>
    </row>
    <row r="117" spans="3:41" hidden="1" x14ac:dyDescent="0.3">
      <c r="M117" s="364"/>
      <c r="N117" s="258"/>
      <c r="O117" s="334"/>
      <c r="P117" s="334"/>
      <c r="Q117" s="365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4"/>
      <c r="AC117" s="334"/>
      <c r="AD117" s="334"/>
      <c r="AE117" s="334"/>
      <c r="AF117" s="334"/>
      <c r="AG117" s="334"/>
      <c r="AH117" s="334"/>
      <c r="AI117" s="334"/>
      <c r="AJ117" s="334"/>
      <c r="AK117" s="334"/>
      <c r="AL117" s="334"/>
      <c r="AN117" s="41"/>
      <c r="AO117" s="41"/>
    </row>
    <row r="118" spans="3:41" hidden="1" x14ac:dyDescent="0.3">
      <c r="M118" s="364"/>
      <c r="N118" s="258"/>
      <c r="O118" s="334"/>
      <c r="P118" s="334"/>
      <c r="Q118" s="365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  <c r="AB118" s="334"/>
      <c r="AC118" s="334"/>
      <c r="AD118" s="334"/>
      <c r="AE118" s="334"/>
      <c r="AF118" s="334"/>
      <c r="AG118" s="334"/>
      <c r="AH118" s="334"/>
      <c r="AI118" s="334"/>
      <c r="AJ118" s="334"/>
      <c r="AK118" s="334"/>
      <c r="AL118" s="334"/>
      <c r="AN118" s="41"/>
      <c r="AO118" s="41"/>
    </row>
    <row r="119" spans="3:41" hidden="1" x14ac:dyDescent="0.3">
      <c r="M119" s="364"/>
      <c r="N119" s="258"/>
      <c r="O119" s="334"/>
      <c r="P119" s="334"/>
      <c r="Q119" s="365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4"/>
      <c r="AH119" s="334"/>
      <c r="AI119" s="334"/>
      <c r="AJ119" s="334"/>
      <c r="AK119" s="334"/>
      <c r="AL119" s="334"/>
      <c r="AN119" s="41"/>
      <c r="AO119" s="41"/>
    </row>
    <row r="120" spans="3:41" hidden="1" x14ac:dyDescent="0.3">
      <c r="M120" s="364"/>
      <c r="N120" s="258"/>
      <c r="O120" s="334"/>
      <c r="P120" s="334"/>
      <c r="Q120" s="365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  <c r="AH120" s="334"/>
      <c r="AI120" s="334"/>
      <c r="AJ120" s="334"/>
      <c r="AK120" s="334"/>
      <c r="AL120" s="334"/>
      <c r="AN120" s="41"/>
      <c r="AO120" s="41"/>
    </row>
    <row r="121" spans="3:41" hidden="1" x14ac:dyDescent="0.3">
      <c r="M121" s="364"/>
      <c r="N121" s="258"/>
      <c r="O121" s="334"/>
      <c r="P121" s="334"/>
      <c r="Q121" s="365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334"/>
      <c r="AG121" s="334"/>
      <c r="AH121" s="334"/>
      <c r="AI121" s="334"/>
      <c r="AJ121" s="334"/>
      <c r="AK121" s="334"/>
      <c r="AL121" s="334"/>
      <c r="AN121" s="41"/>
      <c r="AO121" s="41"/>
    </row>
    <row r="122" spans="3:41" hidden="1" x14ac:dyDescent="0.3">
      <c r="M122" s="350"/>
      <c r="N122" s="351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4"/>
      <c r="AE122" s="334"/>
      <c r="AF122" s="334"/>
      <c r="AG122" s="334"/>
      <c r="AH122" s="334"/>
      <c r="AI122" s="334"/>
      <c r="AJ122" s="334"/>
      <c r="AK122" s="334"/>
      <c r="AL122" s="334"/>
      <c r="AN122" s="41"/>
      <c r="AO122" s="41"/>
    </row>
    <row r="123" spans="3:41" hidden="1" x14ac:dyDescent="0.3">
      <c r="M123" s="259"/>
      <c r="N123" s="345"/>
      <c r="O123" s="258"/>
      <c r="P123" s="41"/>
      <c r="Q123" s="41"/>
      <c r="R123" s="41"/>
      <c r="S123" s="41"/>
      <c r="T123" s="41"/>
      <c r="U123" s="258"/>
      <c r="V123" s="41"/>
      <c r="W123" s="41"/>
      <c r="X123" s="41"/>
      <c r="Y123" s="41"/>
      <c r="Z123" s="41"/>
      <c r="AA123" s="258"/>
      <c r="AB123" s="41"/>
      <c r="AC123" s="41"/>
      <c r="AD123" s="41"/>
      <c r="AE123" s="41"/>
      <c r="AF123" s="41"/>
      <c r="AG123" s="258"/>
      <c r="AH123" s="41"/>
      <c r="AI123" s="41"/>
      <c r="AJ123" s="41"/>
      <c r="AK123" s="41"/>
      <c r="AL123" s="41"/>
      <c r="AN123" s="41"/>
      <c r="AO123" s="41"/>
    </row>
    <row r="124" spans="3:41" hidden="1" x14ac:dyDescent="0.3">
      <c r="M124" s="346"/>
      <c r="N124" s="345"/>
      <c r="O124" s="258"/>
      <c r="P124" s="41"/>
      <c r="Q124" s="41"/>
      <c r="R124" s="41"/>
      <c r="S124" s="41"/>
      <c r="T124" s="41"/>
      <c r="U124" s="258"/>
      <c r="V124" s="41"/>
      <c r="W124" s="41"/>
      <c r="X124" s="41"/>
      <c r="Y124" s="41"/>
      <c r="Z124" s="41"/>
      <c r="AA124" s="258"/>
      <c r="AB124" s="41"/>
      <c r="AC124" s="41"/>
      <c r="AD124" s="41"/>
      <c r="AE124" s="41"/>
      <c r="AF124" s="41"/>
      <c r="AG124" s="258"/>
      <c r="AH124" s="41"/>
      <c r="AI124" s="41"/>
      <c r="AJ124" s="41"/>
      <c r="AK124" s="41"/>
      <c r="AL124" s="41"/>
      <c r="AN124" s="41"/>
      <c r="AO124" s="41"/>
    </row>
    <row r="125" spans="3:41" hidden="1" x14ac:dyDescent="0.3">
      <c r="M125" s="41"/>
      <c r="N125" s="348"/>
      <c r="O125" s="258"/>
      <c r="P125" s="258"/>
      <c r="Q125" s="258"/>
      <c r="R125" s="258"/>
      <c r="S125" s="258"/>
      <c r="T125" s="258"/>
      <c r="U125" s="258"/>
      <c r="V125" s="258"/>
      <c r="W125" s="258"/>
      <c r="X125" s="258"/>
      <c r="Y125" s="349"/>
      <c r="Z125" s="349"/>
      <c r="AA125" s="349"/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N125" s="258"/>
      <c r="AO125" s="258"/>
    </row>
    <row r="126" spans="3:41" ht="15" hidden="1" x14ac:dyDescent="0.3">
      <c r="M126" s="350"/>
      <c r="N126" s="37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N126" s="18"/>
      <c r="AO126" s="18"/>
    </row>
    <row r="127" spans="3:41" ht="15" hidden="1" x14ac:dyDescent="0.3">
      <c r="M127" s="351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N127" s="37"/>
      <c r="AO127" s="37"/>
    </row>
    <row r="128" spans="3:41" ht="15" hidden="1" x14ac:dyDescent="0.3">
      <c r="M128" s="351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N128" s="37"/>
      <c r="AO128" s="37"/>
    </row>
    <row r="129" spans="13:41" ht="15.45" hidden="1" x14ac:dyDescent="0.3">
      <c r="M129" s="351"/>
      <c r="N129" s="38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N129" s="7"/>
      <c r="AO129" s="7"/>
    </row>
    <row r="130" spans="13:41" ht="15" hidden="1" x14ac:dyDescent="0.3">
      <c r="M130" s="350"/>
      <c r="N130" s="37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N130" s="39"/>
      <c r="AO130" s="39"/>
    </row>
    <row r="131" spans="13:41" ht="15" hidden="1" x14ac:dyDescent="0.3">
      <c r="M131" s="258"/>
      <c r="N131" s="37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N131" s="18"/>
      <c r="AO131" s="18"/>
    </row>
    <row r="132" spans="13:41" ht="15.45" hidden="1" x14ac:dyDescent="0.3">
      <c r="M132" s="353"/>
      <c r="N132" s="3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N132" s="18"/>
      <c r="AO132" s="18"/>
    </row>
    <row r="133" spans="13:41" ht="15.45" hidden="1" x14ac:dyDescent="0.3">
      <c r="M133" s="41"/>
      <c r="N133" s="4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N133" s="21"/>
      <c r="AO133" s="21"/>
    </row>
    <row r="134" spans="13:41" ht="15.45" hidden="1" x14ac:dyDescent="0.3">
      <c r="M134" s="41"/>
      <c r="N134" s="40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N134" s="18"/>
      <c r="AO134" s="18"/>
    </row>
    <row r="135" spans="13:41" ht="15.45" hidden="1" x14ac:dyDescent="0.3">
      <c r="M135" s="41"/>
      <c r="N135" s="37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N135" s="22"/>
      <c r="AO135" s="22"/>
    </row>
    <row r="136" spans="13:41" ht="15" hidden="1" x14ac:dyDescent="0.3">
      <c r="M136" s="350"/>
      <c r="N136" s="19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N136" s="18"/>
      <c r="AO136" s="18"/>
    </row>
    <row r="137" spans="13:41" ht="15" hidden="1" x14ac:dyDescent="0.3">
      <c r="M137" s="8"/>
      <c r="N137" s="20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N137" s="21"/>
      <c r="AO137" s="21"/>
    </row>
    <row r="138" spans="13:41" ht="15" hidden="1" x14ac:dyDescent="0.3">
      <c r="AG138" s="18"/>
      <c r="AH138" s="18"/>
      <c r="AI138" s="18"/>
      <c r="AJ138" s="18"/>
      <c r="AK138" s="18"/>
      <c r="AL138" s="18"/>
      <c r="AN138" s="18"/>
      <c r="AO138" s="18"/>
    </row>
    <row r="139" spans="13:41" ht="15.45" x14ac:dyDescent="0.3">
      <c r="AG139" s="22"/>
      <c r="AH139" s="22"/>
      <c r="AI139" s="22"/>
      <c r="AJ139" s="22"/>
      <c r="AK139" s="22"/>
      <c r="AL139" s="22"/>
      <c r="AN139" s="22"/>
      <c r="AO139" s="22"/>
    </row>
    <row r="140" spans="13:41" x14ac:dyDescent="0.3">
      <c r="AG140" s="8"/>
      <c r="AH140" s="8"/>
      <c r="AI140" s="8"/>
      <c r="AJ140" s="8"/>
      <c r="AK140" s="8"/>
      <c r="AL140" s="8"/>
      <c r="AN140" s="8"/>
      <c r="AO140" s="8"/>
    </row>
    <row r="141" spans="13:41" x14ac:dyDescent="0.3">
      <c r="AG141" s="8"/>
      <c r="AH141" s="8"/>
      <c r="AI141" s="8"/>
      <c r="AJ141" s="8"/>
      <c r="AK141" s="8"/>
      <c r="AL141" s="8"/>
      <c r="AN141" s="8"/>
      <c r="AO141" s="8"/>
    </row>
    <row r="142" spans="13:41" x14ac:dyDescent="0.3">
      <c r="AG142" s="8"/>
      <c r="AH142" s="8"/>
      <c r="AI142" s="8"/>
      <c r="AJ142" s="8"/>
      <c r="AK142" s="8"/>
      <c r="AL142" s="8"/>
      <c r="AN142" s="8"/>
      <c r="AO142" s="8"/>
    </row>
  </sheetData>
  <sheetProtection algorithmName="SHA-512" hashValue="Qg4NsovcBZC0A0CFs78HsTOQZ8IzdAQ6vUYRQH0AlGNbZyWRtPJ6RSYoRWdqlfC8YImbf+KUlceHiPncaFUrig==" saltValue="Z+kPl+O7RTfZvfIGiTpjPA==" spinCount="100000" sheet="1" objects="1" scenarios="1"/>
  <customSheetViews>
    <customSheetView guid="{AAE00E0F-58A4-431B-A945-2FAABDFF301E}" scale="70" showGridLines="0" hiddenRows="1" hiddenColumns="1">
      <selection activeCell="H19" sqref="H19"/>
      <pageMargins left="0.75" right="0.75" top="1" bottom="1" header="0.5" footer="0.5"/>
      <pageSetup paperSize="9" orientation="portrait" r:id="rId1"/>
      <headerFooter alignWithMargins="0"/>
    </customSheetView>
  </customSheetViews>
  <mergeCells count="34">
    <mergeCell ref="B32:C32"/>
    <mergeCell ref="B2:E2"/>
    <mergeCell ref="D30:E30"/>
    <mergeCell ref="B42:D42"/>
    <mergeCell ref="D29:E29"/>
    <mergeCell ref="D31:E31"/>
    <mergeCell ref="B30:C30"/>
    <mergeCell ref="B31:C31"/>
    <mergeCell ref="B40:C40"/>
    <mergeCell ref="B33:C33"/>
    <mergeCell ref="B34:C34"/>
    <mergeCell ref="B37:C37"/>
    <mergeCell ref="B38:C38"/>
    <mergeCell ref="B39:C39"/>
    <mergeCell ref="B36:D36"/>
    <mergeCell ref="B28:D28"/>
    <mergeCell ref="AG1:AH1"/>
    <mergeCell ref="AG2:AI2"/>
    <mergeCell ref="Z2:AA2"/>
    <mergeCell ref="Z15:AA15"/>
    <mergeCell ref="Z29:AA29"/>
    <mergeCell ref="AG29:AI29"/>
    <mergeCell ref="AK29:AM29"/>
    <mergeCell ref="AQ29:AR29"/>
    <mergeCell ref="AK2:AM2"/>
    <mergeCell ref="C4:E4"/>
    <mergeCell ref="C5:E5"/>
    <mergeCell ref="C6:E6"/>
    <mergeCell ref="AQ2:AR2"/>
    <mergeCell ref="AG15:AI15"/>
    <mergeCell ref="AK15:AM15"/>
    <mergeCell ref="AQ15:AR15"/>
    <mergeCell ref="B26:D26"/>
    <mergeCell ref="E26:G26"/>
  </mergeCells>
  <phoneticPr fontId="2" type="noConversion"/>
  <conditionalFormatting sqref="AM48 AM42:AM43 AK41">
    <cfRule type="cellIs" dxfId="51" priority="20" stopIfTrue="1" operator="equal">
      <formula>TRUE</formula>
    </cfRule>
  </conditionalFormatting>
  <conditionalFormatting sqref="D51">
    <cfRule type="cellIs" dxfId="50" priority="14" stopIfTrue="1" operator="greaterThan">
      <formula>3</formula>
    </cfRule>
  </conditionalFormatting>
  <conditionalFormatting sqref="E51">
    <cfRule type="cellIs" dxfId="49" priority="13" stopIfTrue="1" operator="greaterThan">
      <formula>3</formula>
    </cfRule>
  </conditionalFormatting>
  <conditionalFormatting sqref="G51">
    <cfRule type="cellIs" dxfId="48" priority="12" stopIfTrue="1" operator="greaterThan">
      <formula>3</formula>
    </cfRule>
  </conditionalFormatting>
  <conditionalFormatting sqref="AK4:AM13 AK17:AM26 AO4:AP13 AO17:AP26">
    <cfRule type="cellIs" dxfId="47" priority="4" stopIfTrue="1" operator="equal">
      <formula>TRUE</formula>
    </cfRule>
  </conditionalFormatting>
  <conditionalFormatting sqref="AK31:AM40 AO31:AP40">
    <cfRule type="cellIs" dxfId="46" priority="1" stopIfTrue="1" operator="equal">
      <formula>TRUE</formula>
    </cfRule>
  </conditionalFormatting>
  <dataValidations count="4">
    <dataValidation type="list" allowBlank="1" showInputMessage="1" showErrorMessage="1" sqref="D31" xr:uid="{00000000-0002-0000-0200-000000000000}">
      <formula1>Grafik</formula1>
    </dataValidation>
    <dataValidation type="list" allowBlank="1" showInputMessage="1" showErrorMessage="1" sqref="G31" xr:uid="{00000000-0002-0000-0200-000001000000}">
      <formula1>TemperGVS</formula1>
    </dataValidation>
    <dataValidation type="list" allowBlank="1" showInputMessage="1" showErrorMessage="1" sqref="D33:E33 G33" xr:uid="{00000000-0002-0000-0200-000002000000}">
      <formula1>Control_DU_Tr</formula1>
    </dataValidation>
    <dataValidation type="list" allowBlank="1" showInputMessage="1" showErrorMessage="1" sqref="E26" xr:uid="{C105434E-09F2-4034-A036-6D56A02F9532}">
      <formula1>Метод_подбора</formula1>
    </dataValidation>
  </dataValidations>
  <pageMargins left="0.25" right="0.25" top="0.75" bottom="0.75" header="0.3" footer="0.3"/>
  <pageSetup paperSize="9" scale="62" fitToHeight="0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D136"/>
  <sheetViews>
    <sheetView showGridLines="0" showRowColHeaders="0" zoomScale="85" zoomScaleNormal="85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5.69140625" style="6" customWidth="1"/>
    <col min="7" max="7" width="18.69140625" style="6" customWidth="1"/>
    <col min="8" max="8" width="9.15234375" style="6"/>
    <col min="9" max="9" width="9.15234375" style="6" customWidth="1"/>
    <col min="10" max="10" width="14.69140625" style="6" hidden="1" customWidth="1"/>
    <col min="11" max="11" width="9.15234375" style="6" hidden="1" customWidth="1"/>
    <col min="12" max="12" width="18.69140625" style="6" hidden="1" customWidth="1"/>
    <col min="13" max="18" width="12.69140625" style="6" hidden="1" customWidth="1"/>
    <col min="19" max="19" width="14.30468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4.15234375" style="6" hidden="1" customWidth="1"/>
    <col min="45" max="45" width="13.69140625" style="6" hidden="1" customWidth="1"/>
    <col min="46" max="46" width="17.3828125" style="91" hidden="1" customWidth="1"/>
    <col min="47" max="49" width="13.69140625" style="6" hidden="1" customWidth="1"/>
    <col min="50" max="55" width="13.69140625" style="6" customWidth="1"/>
    <col min="56" max="16384" width="9.15234375" style="6"/>
  </cols>
  <sheetData>
    <row r="1" spans="2:55" ht="18" customHeight="1" thickBot="1" x14ac:dyDescent="0.35">
      <c r="B1" s="301"/>
      <c r="C1" s="301"/>
      <c r="D1" s="301"/>
      <c r="E1" s="301"/>
      <c r="F1" s="301"/>
      <c r="G1" s="301"/>
      <c r="I1" s="256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259"/>
      <c r="AU1" s="41"/>
      <c r="AV1" s="41"/>
      <c r="AW1" s="41"/>
      <c r="AX1" s="41"/>
      <c r="AY1" s="41"/>
      <c r="AZ1" s="41"/>
      <c r="BA1" s="41"/>
      <c r="BB1" s="41"/>
      <c r="BC1" s="41"/>
    </row>
    <row r="2" spans="2:55" ht="18" customHeight="1" thickBot="1" x14ac:dyDescent="0.55000000000000004">
      <c r="B2" s="827" t="s">
        <v>393</v>
      </c>
      <c r="C2" s="827"/>
      <c r="D2" s="827"/>
      <c r="E2" s="827"/>
      <c r="F2" s="260"/>
      <c r="G2" s="261"/>
      <c r="N2" s="262"/>
      <c r="O2" s="263" t="s">
        <v>406</v>
      </c>
      <c r="P2" s="264">
        <f>MATCH(M6,DyTr_New,0)</f>
        <v>55</v>
      </c>
      <c r="Q2" s="265" t="e">
        <f ca="1">MATCH(TRUE,AO4:AO13,0)</f>
        <v>#N/A</v>
      </c>
      <c r="R2" s="266" t="s">
        <v>103</v>
      </c>
      <c r="S2" s="267"/>
      <c r="U2" s="268" t="e">
        <f ca="1">MATCH(TRUE,AO4:AO13,0)</f>
        <v>#N/A</v>
      </c>
      <c r="V2" s="269" t="s">
        <v>407</v>
      </c>
      <c r="W2" s="270"/>
      <c r="X2" s="270"/>
      <c r="Y2" s="270"/>
      <c r="Z2" s="813" t="s">
        <v>206</v>
      </c>
      <c r="AA2" s="813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 t="e">
        <f ca="1">MATCH(TRUE,AO4:AO13,0)</f>
        <v>#N/A</v>
      </c>
      <c r="AP2" s="273">
        <f ca="1">MATCH(TRUE,AP4:AP13,0)</f>
        <v>2</v>
      </c>
      <c r="AQ2" s="802" t="s">
        <v>69</v>
      </c>
      <c r="AR2" s="803"/>
      <c r="AS2" s="259"/>
      <c r="AT2" s="259"/>
      <c r="AU2" s="41"/>
      <c r="AV2" s="41"/>
      <c r="AW2" s="41"/>
      <c r="AX2" s="41"/>
      <c r="AY2" s="41"/>
      <c r="AZ2" s="41"/>
      <c r="BA2" s="41"/>
      <c r="BB2" s="41"/>
      <c r="BC2" s="41"/>
    </row>
    <row r="3" spans="2:55" ht="18" customHeight="1" x14ac:dyDescent="0.3">
      <c r="B3" s="274"/>
      <c r="C3" s="274"/>
      <c r="D3" s="275"/>
      <c r="E3" s="274"/>
      <c r="F3" s="276"/>
      <c r="G3" s="276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IF(ISERROR(AO2),IF(ISERROR(AP2),"НЕТ",OFFSET(Q4,AP2-1,0,1)&amp;"-"&amp;OFFSET(AN4,AP2-1,0,1)&amp;"-Фланец"),OFFSET(Q4,AO2-1,0,1)&amp;"-"&amp;OFFSET(AN4,AO2-1,0,1)&amp;"-Cэндвич")</f>
        <v>ПРЭМ-150-D-Фланец</v>
      </c>
      <c r="AT3" s="284" t="str">
        <f ca="1">IF(ISERROR(AO2),IF(ISERROR(AP2),"НЕТ",OFFSET(Q4,AP2-1,0,1)&amp;"-"&amp;OFFSET(AN4,AP2-1,0,1)),OFFSET(Q4,AO2-1,0,1)&amp;"-"&amp;OFFSET(AN4,AO2-1,0,1))</f>
        <v>ПРЭМ-150-D</v>
      </c>
      <c r="AU3" s="41"/>
      <c r="AV3" s="41"/>
      <c r="AW3" s="41"/>
      <c r="AX3" s="41"/>
      <c r="AY3" s="41"/>
      <c r="AZ3" s="41"/>
      <c r="BA3" s="41"/>
      <c r="BB3" s="41"/>
      <c r="BC3" s="41"/>
    </row>
    <row r="4" spans="2:55" ht="18" customHeight="1" x14ac:dyDescent="0.3">
      <c r="B4" s="285" t="s">
        <v>117</v>
      </c>
      <c r="C4" s="788"/>
      <c r="D4" s="789"/>
      <c r="E4" s="790"/>
      <c r="F4" s="286"/>
      <c r="G4" s="286"/>
      <c r="L4" s="287" t="s">
        <v>74</v>
      </c>
      <c r="M4" s="288">
        <v>0.5</v>
      </c>
      <c r="N4" s="88">
        <f ca="1">OFFSET(DyTr_New,P2-1,1,1)</f>
        <v>5</v>
      </c>
      <c r="O4" s="88">
        <v>1</v>
      </c>
      <c r="P4" s="93" t="str">
        <f ca="1">IF(O4&lt;=$N$4,OFFSET(DyTr_New,$P$2-2+O4,4,1),"---")</f>
        <v>100-300</v>
      </c>
      <c r="Q4" s="93" t="str">
        <f t="shared" ref="Q4:Q13" ca="1" si="0">IF(O4&lt;=$N$4,OFFSET(DyTr_New,$P$2-2+O4,2,1),"---")</f>
        <v>ПРЭМ-100</v>
      </c>
      <c r="R4" s="93">
        <f t="shared" ref="R4:R13" ca="1" si="1">IF(O4&lt;=$N$4,OFFSET(DyTr_New,$P$2-2+O4,5,1),"---")</f>
        <v>100</v>
      </c>
      <c r="S4" s="93" t="str">
        <f ca="1">IF(O4&lt;=$N$4,OFFSET(DyTr_New,$P$2-2+O4,6,1),"---")</f>
        <v>75,14</v>
      </c>
      <c r="T4" s="93">
        <f t="shared" ref="T4:T13" ca="1" si="2">IF(O4&lt;=$N$4,($M$7/3.6)/((PI()*R4^2)/4000),"---")</f>
        <v>4.1481159932340832</v>
      </c>
      <c r="U4" s="289">
        <f ca="1">IF(O4&lt;=$N$4,(T4*R4/$M$9/1000),"---")</f>
        <v>1817300.1034459472</v>
      </c>
      <c r="V4" s="289">
        <f t="shared" ref="V4:V13" ca="1" si="3">IF(O4&lt;=$N$4,(1/(1.14+2*LOG((R4/$M$4),10))^2),"---")</f>
        <v>3.0329450982592873E-2</v>
      </c>
      <c r="W4" s="93">
        <f t="shared" ref="W4:W13" ca="1" si="4">IF(O4&lt;=$N$4,(IF(S4=0,0,(V4/(8*SIN(RADIANS(S4/2))))*(1-(R4/$M$6)^4))),"---")</f>
        <v>6.141038165287529E-3</v>
      </c>
      <c r="X4" s="93">
        <f t="shared" ref="X4:X13" ca="1" si="5">IF(O4&lt;=$N$4,(3.2*TAN(RADIANS(S4/2))^1.25*(1-(R4/$M$6)^2)^2),"---")</f>
        <v>1.8215594382132052</v>
      </c>
      <c r="Y4" s="93">
        <f t="shared" ref="Y4:Y13" ca="1" si="6">IF(O4&lt;=$N$4,(IF(S4=0,0,V4/(8*SIN(RADIANS(S4/2)))*(1-(R4/$M$6)^4))),"---")</f>
        <v>6.141038165287529E-3</v>
      </c>
      <c r="Z4" s="290" t="e">
        <f t="shared" ref="Z4:Z13" ca="1" si="7">IF(O4&lt;=$N$4,VLOOKUP(Q4&amp;"-Сэндвич",TypePFlow,3,FALSE),"---")</f>
        <v>#N/A</v>
      </c>
      <c r="AA4" s="290">
        <f t="shared" ref="AA4:AA13" ca="1" si="8">IF(O4&lt;=$N$4,VLOOKUP(Q4&amp;"-Фланец",TypePFlow,3,FALSE),"---")</f>
        <v>0</v>
      </c>
      <c r="AB4" s="93">
        <f t="shared" ref="AB4:AB13" ca="1" si="9">IF(O4&lt;=$N$4,(V4*4+W4+X4+Y4)*T4^2/(2*9.81),"--")</f>
        <v>1.7146873076010174</v>
      </c>
      <c r="AC4" s="291" t="e">
        <f t="shared" ref="AC4:AC13" ca="1" si="10">IF(O4&lt;=$N$4,(Z4*$M$7^2),"--")</f>
        <v>#N/A</v>
      </c>
      <c r="AD4" s="93">
        <f t="shared" ref="AD4:AD13" ca="1" si="11">IF(O4&lt;=$N$4,(AA4*$M$7^2),"--")</f>
        <v>0</v>
      </c>
      <c r="AE4" s="93" t="e">
        <f t="shared" ref="AE4:AE13" ca="1" si="12">IF(O4&lt;=$N$4,(AB4+AC4),"---")</f>
        <v>#N/A</v>
      </c>
      <c r="AF4" s="93">
        <f t="shared" ref="AF4:AF13" ca="1" si="13">IF(O4&lt;=$N$4,(AB4+AD4),"---")</f>
        <v>1.7146873076010174</v>
      </c>
      <c r="AG4" s="292">
        <f t="shared" ref="AG4:AG13" ca="1" si="14">IF(O4&lt;=$N$4,VLOOKUP(Q4&amp;"-D",ParamPiterflow,2,FALSE),"---")</f>
        <v>1.867</v>
      </c>
      <c r="AH4" s="292">
        <f t="shared" ref="AH4:AH13" ca="1" si="15">IF(O4&lt;=$N$4,VLOOKUP(Q4&amp;"-C1",ParamPiterflow,2,FALSE),"---")</f>
        <v>1.1200000000000001</v>
      </c>
      <c r="AI4" s="292">
        <f t="shared" ref="AI4:AI13" ca="1" si="16">IF(O4&lt;=$N$4,VLOOKUP(Q4&amp;"-B1",ParamPiterflow,2,FALSE),"---")</f>
        <v>0.62</v>
      </c>
      <c r="AJ4" s="292">
        <f t="shared" ref="AJ4:AJ13" ca="1" si="17">IF(O4&lt;=$N$4,VLOOKUP(Q4&amp;"-D",ParamPiterflow,4,FALSE),"---")</f>
        <v>280</v>
      </c>
      <c r="AK4" s="293" t="b">
        <f t="shared" ref="AK4:AK13" ca="1" si="18">IF($O4&lt;=$N$4,AND(AG4&lt;$M$8,$AJ4&gt;$M$7),"---")</f>
        <v>1</v>
      </c>
      <c r="AL4" s="293" t="b">
        <f t="shared" ref="AL4:AL13" ca="1" si="19">IF($O4&lt;=$N$4,AND(AH4&lt;$M$8,$AJ4&gt;$M$7),"---")</f>
        <v>1</v>
      </c>
      <c r="AM4" s="293" t="b">
        <f t="shared" ref="AM4:AM13" ca="1" si="20">IF($O4&lt;=$N$4,AND(AI4&lt;$M$8,$AJ4&gt;$M$7),"---")</f>
        <v>1</v>
      </c>
      <c r="AN4" s="294" t="str">
        <f ca="1">IF($O4&lt;=$N$4,IF(AK4,"D",IF(AL4,"C1",IF(AM4,"B1","НЕТ"))),"---")</f>
        <v>D</v>
      </c>
      <c r="AO4" s="294" t="e">
        <f ca="1">IF($O4&lt;=$N$4,AND(AE4&lt;$M$5,NOT(AN4="НЕТ"),IF($E$25="Экономный",T4&lt;=3,IF(AND($E$25="Оптимальный",T4&gt;$D$50),T4&lt;=1.8,IF(AND($E$25="Затратный",T4&gt;$D$50),T4&lt;=1,T4&lt;=3)))),"---")</f>
        <v>#N/A</v>
      </c>
      <c r="AP4" s="294" t="b">
        <f ca="1">IF($O4&lt;=$N$4,AND(AF4&lt;$M$5,NOT(AN4="НЕТ"),IF($E$25="Экономный",T4&lt;=3,IF(AND($E$25="Оптимальный",T4&gt;$D$50),T4&lt;=1.8,IF(AND($E$25="Затратный",T4&gt;$D$50),T4&lt;=1,T4&lt;=3)))),"---")</f>
        <v>0</v>
      </c>
      <c r="AQ4" s="295"/>
      <c r="AR4" s="296"/>
      <c r="AS4" s="259"/>
      <c r="AT4" s="259">
        <f ca="1">IF(ISERROR(AO2),IF(ISERROR(AP2),"НЕТ",AP2),AO2)</f>
        <v>2</v>
      </c>
      <c r="AU4" s="41"/>
      <c r="AV4" s="41"/>
      <c r="AW4" s="41"/>
      <c r="AX4" s="41"/>
      <c r="AY4" s="41"/>
      <c r="AZ4" s="41"/>
      <c r="BA4" s="41"/>
      <c r="BB4" s="41"/>
      <c r="BC4" s="41"/>
    </row>
    <row r="5" spans="2:55" ht="18" customHeight="1" x14ac:dyDescent="0.3">
      <c r="B5" s="8"/>
      <c r="C5" s="791"/>
      <c r="D5" s="792"/>
      <c r="E5" s="793"/>
      <c r="F5" s="276"/>
      <c r="G5" s="276"/>
      <c r="L5" s="297" t="s">
        <v>189</v>
      </c>
      <c r="M5" s="298">
        <f>D31</f>
        <v>0.5</v>
      </c>
      <c r="N5" s="88"/>
      <c r="O5" s="88">
        <v>2</v>
      </c>
      <c r="P5" s="93" t="str">
        <f t="shared" ref="P5:P10" ca="1" si="21">IF(O5&lt;=$N$4,OFFSET(DyTr_New,$P$2-2+O5,4,1),"---")</f>
        <v>150-300</v>
      </c>
      <c r="Q5" s="93" t="str">
        <f t="shared" ca="1" si="0"/>
        <v>ПРЭМ-150</v>
      </c>
      <c r="R5" s="93">
        <f t="shared" ca="1" si="1"/>
        <v>150</v>
      </c>
      <c r="S5" s="93" t="str">
        <f t="shared" ref="S5:S13" ca="1" si="22">IF(O5&lt;=$N$4,OFFSET(DyTr_New,$P$2-2+O5,6,1),"---")</f>
        <v>59,96</v>
      </c>
      <c r="T5" s="93">
        <f t="shared" ca="1" si="2"/>
        <v>1.8436071081040368</v>
      </c>
      <c r="U5" s="289">
        <f t="shared" ref="U5:U13" ca="1" si="23">IF(O5&lt;=$N$4,(T5*R5/$M$9/1000),"---")</f>
        <v>1211533.402297298</v>
      </c>
      <c r="V5" s="289">
        <f t="shared" ca="1" si="3"/>
        <v>2.6925299052784478E-2</v>
      </c>
      <c r="W5" s="93">
        <f t="shared" ca="1" si="4"/>
        <v>6.3144350562130309E-3</v>
      </c>
      <c r="X5" s="93">
        <f t="shared" ca="1" si="5"/>
        <v>0.90496963797519814</v>
      </c>
      <c r="Y5" s="93">
        <f t="shared" ca="1" si="6"/>
        <v>6.3144350562130309E-3</v>
      </c>
      <c r="Z5" s="290" t="e">
        <f t="shared" ca="1" si="7"/>
        <v>#N/A</v>
      </c>
      <c r="AA5" s="290">
        <f t="shared" ca="1" si="8"/>
        <v>0</v>
      </c>
      <c r="AB5" s="93">
        <f t="shared" ca="1" si="9"/>
        <v>0.1776186549120079</v>
      </c>
      <c r="AC5" s="291" t="e">
        <f t="shared" ca="1" si="10"/>
        <v>#N/A</v>
      </c>
      <c r="AD5" s="93">
        <f t="shared" ca="1" si="11"/>
        <v>0</v>
      </c>
      <c r="AE5" s="93" t="e">
        <f t="shared" ca="1" si="12"/>
        <v>#N/A</v>
      </c>
      <c r="AF5" s="93">
        <f t="shared" ca="1" si="13"/>
        <v>0.1776186549120079</v>
      </c>
      <c r="AG5" s="292">
        <f t="shared" ca="1" si="14"/>
        <v>4.2</v>
      </c>
      <c r="AH5" s="292">
        <f t="shared" ca="1" si="15"/>
        <v>2.52</v>
      </c>
      <c r="AI5" s="292">
        <f t="shared" ca="1" si="16"/>
        <v>1.4</v>
      </c>
      <c r="AJ5" s="292">
        <f t="shared" ca="1" si="17"/>
        <v>630</v>
      </c>
      <c r="AK5" s="293" t="b">
        <f t="shared" ca="1" si="18"/>
        <v>1</v>
      </c>
      <c r="AL5" s="293" t="b">
        <f t="shared" ca="1" si="19"/>
        <v>1</v>
      </c>
      <c r="AM5" s="293" t="b">
        <f t="shared" ca="1" si="20"/>
        <v>1</v>
      </c>
      <c r="AN5" s="294" t="str">
        <f t="shared" ref="AN5:AN13" ca="1" si="24">IF($O5&lt;=$N$4,IF(AK5,"D",IF(AL5,"C1",IF(AM5,"B1","НЕТ"))),"---")</f>
        <v>D</v>
      </c>
      <c r="AO5" s="294" t="e">
        <f t="shared" ref="AO5:AO13" ca="1" si="25">IF($O5&lt;=$N$4,AND(AE5&lt;$M$5,NOT(AN5="НЕТ"),IF($E$25="Экономный",T5&lt;=3,IF(AND($E$25="Оптимальный",T5&gt;$D$50),T5&lt;=1.8,IF(AND($E$25="Затратный",T5&gt;$D$50),T5&lt;=1,T5&lt;=3)))),"---")</f>
        <v>#N/A</v>
      </c>
      <c r="AP5" s="294" t="b">
        <f t="shared" ref="AP5:AP13" ca="1" si="26">IF($O5&lt;=$N$4,AND(AF5&lt;$M$5,NOT(AN5="НЕТ"),IF($E$25="Экономный",T5&lt;=3,IF(AND($E$25="Оптимальный",T5&gt;$D$50),T5&lt;=1.8,IF(AND($E$25="Затратный",T5&gt;$D$50),T5&lt;=1,T5&lt;=3)))),"---")</f>
        <v>1</v>
      </c>
      <c r="AQ5" s="299" t="s">
        <v>18</v>
      </c>
      <c r="AR5" s="300">
        <f ca="1">OFFSET(T4,IF(ISERROR(AO2),IF(ISERROR(AP2),"НЕТ",AP2),AO2)-1,0,1)</f>
        <v>1.8436071081040368</v>
      </c>
      <c r="AS5" s="259"/>
      <c r="AT5" s="259"/>
      <c r="AU5" s="41"/>
      <c r="AV5" s="41"/>
      <c r="AW5" s="41"/>
      <c r="AX5" s="41"/>
      <c r="AY5" s="41"/>
      <c r="AZ5" s="41"/>
      <c r="BA5" s="41"/>
      <c r="BB5" s="41"/>
      <c r="BC5" s="41"/>
    </row>
    <row r="6" spans="2:55" ht="18" customHeight="1" x14ac:dyDescent="0.4">
      <c r="B6" s="274"/>
      <c r="C6" s="794"/>
      <c r="D6" s="795"/>
      <c r="E6" s="796"/>
      <c r="F6" s="301"/>
      <c r="G6" s="301"/>
      <c r="L6" s="302" t="s">
        <v>410</v>
      </c>
      <c r="M6" s="303">
        <f>$D$32</f>
        <v>300</v>
      </c>
      <c r="N6" s="88"/>
      <c r="O6" s="88">
        <v>3</v>
      </c>
      <c r="P6" s="93" t="str">
        <f t="shared" ca="1" si="21"/>
        <v>200-300</v>
      </c>
      <c r="Q6" s="93" t="str">
        <f t="shared" ca="1" si="0"/>
        <v>ПРЭМ-200</v>
      </c>
      <c r="R6" s="93">
        <f t="shared" ca="1" si="1"/>
        <v>200</v>
      </c>
      <c r="S6" s="93" t="str">
        <f t="shared" ca="1" si="22"/>
        <v>32,78</v>
      </c>
      <c r="T6" s="93">
        <f t="shared" ca="1" si="2"/>
        <v>1.0370289983085208</v>
      </c>
      <c r="U6" s="289">
        <f t="shared" ca="1" si="23"/>
        <v>908650.05172297359</v>
      </c>
      <c r="V6" s="289">
        <f t="shared" ca="1" si="3"/>
        <v>2.4846042519733533E-2</v>
      </c>
      <c r="W6" s="93">
        <f t="shared" ca="1" si="4"/>
        <v>8.832396326579197E-3</v>
      </c>
      <c r="X6" s="93">
        <f t="shared" ca="1" si="5"/>
        <v>0.21393035431368462</v>
      </c>
      <c r="Y6" s="93">
        <f t="shared" ca="1" si="6"/>
        <v>8.832396326579197E-3</v>
      </c>
      <c r="Z6" s="290" t="e">
        <f t="shared" ca="1" si="7"/>
        <v>#N/A</v>
      </c>
      <c r="AA6" s="290">
        <f t="shared" ca="1" si="8"/>
        <v>0</v>
      </c>
      <c r="AB6" s="93">
        <f t="shared" ca="1" si="9"/>
        <v>1.8141936972039079E-2</v>
      </c>
      <c r="AC6" s="291" t="e">
        <f t="shared" ca="1" si="10"/>
        <v>#N/A</v>
      </c>
      <c r="AD6" s="93">
        <f t="shared" ca="1" si="11"/>
        <v>0</v>
      </c>
      <c r="AE6" s="93" t="e">
        <f t="shared" ca="1" si="12"/>
        <v>#N/A</v>
      </c>
      <c r="AF6" s="93">
        <f t="shared" ca="1" si="13"/>
        <v>1.8141936972039079E-2</v>
      </c>
      <c r="AG6" s="292">
        <f t="shared" ca="1" si="14"/>
        <v>7.5</v>
      </c>
      <c r="AH6" s="292">
        <f t="shared" ca="1" si="15"/>
        <v>4.5</v>
      </c>
      <c r="AI6" s="292">
        <f t="shared" ca="1" si="16"/>
        <v>2.5</v>
      </c>
      <c r="AJ6" s="292">
        <f t="shared" ca="1" si="17"/>
        <v>1130</v>
      </c>
      <c r="AK6" s="293" t="b">
        <f t="shared" ca="1" si="18"/>
        <v>1</v>
      </c>
      <c r="AL6" s="293" t="b">
        <f t="shared" ca="1" si="19"/>
        <v>1</v>
      </c>
      <c r="AM6" s="293" t="b">
        <f t="shared" ca="1" si="20"/>
        <v>1</v>
      </c>
      <c r="AN6" s="294" t="str">
        <f t="shared" ca="1" si="24"/>
        <v>D</v>
      </c>
      <c r="AO6" s="294" t="e">
        <f t="shared" ca="1" si="25"/>
        <v>#N/A</v>
      </c>
      <c r="AP6" s="294" t="b">
        <f t="shared" ca="1" si="26"/>
        <v>1</v>
      </c>
      <c r="AQ6" s="65" t="s">
        <v>22</v>
      </c>
      <c r="AR6" s="300">
        <f ca="1">IF(ISERROR(AO2),IF(ISERROR(AP2),"НЕТ",OFFSET(AF4,AP2-1,0,1)),OFFSET(AE4,AO2-1,0,1))</f>
        <v>0.1776186549120079</v>
      </c>
      <c r="AS6" s="304"/>
      <c r="AT6" s="91">
        <f ca="1">IF(ISERROR(AO2),IF(ISERROR(AP2),"НЕТ",OFFSET(AF4,AP2-1,0,1)),OFFSET(AE4,AO2-1,0,1))</f>
        <v>0.1776186549120079</v>
      </c>
      <c r="AU6" s="369"/>
      <c r="AV6" s="41"/>
      <c r="AW6" s="41"/>
      <c r="AX6" s="41"/>
      <c r="AY6" s="41"/>
      <c r="AZ6" s="41"/>
      <c r="BA6" s="41"/>
      <c r="BB6" s="41"/>
      <c r="BC6" s="41"/>
    </row>
    <row r="7" spans="2:55" ht="18" customHeight="1" x14ac:dyDescent="0.4">
      <c r="B7" s="301"/>
      <c r="C7" s="301"/>
      <c r="D7" s="301"/>
      <c r="E7" s="301"/>
      <c r="F7" s="301"/>
      <c r="G7" s="301"/>
      <c r="L7" s="305" t="s">
        <v>71</v>
      </c>
      <c r="M7" s="306">
        <f>D47</f>
        <v>117.2852165752427</v>
      </c>
      <c r="N7" s="88"/>
      <c r="O7" s="88">
        <v>4</v>
      </c>
      <c r="P7" s="93" t="str">
        <f t="shared" ca="1" si="21"/>
        <v>250-300</v>
      </c>
      <c r="Q7" s="93" t="str">
        <f t="shared" ca="1" si="0"/>
        <v>ПРЭМ-250</v>
      </c>
      <c r="R7" s="93">
        <f t="shared" ca="1" si="1"/>
        <v>250</v>
      </c>
      <c r="S7" s="93" t="str">
        <f t="shared" ca="1" si="22"/>
        <v>16,74</v>
      </c>
      <c r="T7" s="93">
        <f t="shared" ca="1" si="2"/>
        <v>0.66369855891745333</v>
      </c>
      <c r="U7" s="289">
        <f t="shared" ca="1" si="23"/>
        <v>726920.04137837887</v>
      </c>
      <c r="V7" s="289">
        <f t="shared" ca="1" si="3"/>
        <v>2.3394735397684677E-2</v>
      </c>
      <c r="W7" s="93">
        <f t="shared" ca="1" si="4"/>
        <v>1.0401323994329196E-2</v>
      </c>
      <c r="X7" s="93">
        <f t="shared" ca="1" si="5"/>
        <v>2.7224814298793018E-2</v>
      </c>
      <c r="Y7" s="93">
        <f t="shared" ca="1" si="6"/>
        <v>1.0401323994329196E-2</v>
      </c>
      <c r="Z7" s="290" t="e">
        <f t="shared" ca="1" si="7"/>
        <v>#N/A</v>
      </c>
      <c r="AA7" s="290">
        <f t="shared" ca="1" si="8"/>
        <v>0</v>
      </c>
      <c r="AB7" s="93">
        <f t="shared" ca="1" si="9"/>
        <v>3.1792570295590739E-3</v>
      </c>
      <c r="AC7" s="291" t="e">
        <f t="shared" ca="1" si="10"/>
        <v>#N/A</v>
      </c>
      <c r="AD7" s="93">
        <f t="shared" ca="1" si="11"/>
        <v>0</v>
      </c>
      <c r="AE7" s="93" t="e">
        <f t="shared" ca="1" si="12"/>
        <v>#N/A</v>
      </c>
      <c r="AF7" s="93">
        <f t="shared" ca="1" si="13"/>
        <v>3.1792570295590739E-3</v>
      </c>
      <c r="AG7" s="292">
        <f t="shared" ca="1" si="14"/>
        <v>11.3</v>
      </c>
      <c r="AH7" s="292">
        <f t="shared" ca="1" si="15"/>
        <v>6.8</v>
      </c>
      <c r="AI7" s="292">
        <f t="shared" ca="1" si="16"/>
        <v>3.78</v>
      </c>
      <c r="AJ7" s="292">
        <f t="shared" ca="1" si="17"/>
        <v>1700</v>
      </c>
      <c r="AK7" s="293" t="b">
        <f t="shared" ca="1" si="18"/>
        <v>1</v>
      </c>
      <c r="AL7" s="293" t="b">
        <f t="shared" ca="1" si="19"/>
        <v>1</v>
      </c>
      <c r="AM7" s="293" t="b">
        <f t="shared" ca="1" si="20"/>
        <v>1</v>
      </c>
      <c r="AN7" s="294" t="str">
        <f t="shared" ca="1" si="24"/>
        <v>D</v>
      </c>
      <c r="AO7" s="294" t="e">
        <f t="shared" ca="1" si="25"/>
        <v>#N/A</v>
      </c>
      <c r="AP7" s="294" t="b">
        <f t="shared" ca="1" si="26"/>
        <v>1</v>
      </c>
      <c r="AQ7" s="307"/>
      <c r="AR7" s="308"/>
      <c r="AS7" s="309"/>
      <c r="AT7" s="310"/>
      <c r="AU7" s="335"/>
      <c r="AV7" s="41"/>
      <c r="AW7" s="41"/>
      <c r="AX7" s="41"/>
      <c r="AY7" s="41"/>
      <c r="AZ7" s="41"/>
      <c r="BA7" s="41"/>
      <c r="BB7" s="41"/>
      <c r="BC7" s="41"/>
    </row>
    <row r="8" spans="2:55" ht="18" customHeight="1" x14ac:dyDescent="0.3">
      <c r="L8" s="305" t="s">
        <v>72</v>
      </c>
      <c r="M8" s="306">
        <f>D48</f>
        <v>58.64260828762135</v>
      </c>
      <c r="N8" s="88"/>
      <c r="O8" s="88">
        <v>5</v>
      </c>
      <c r="P8" s="93" t="str">
        <f t="shared" ca="1" si="21"/>
        <v>300-300</v>
      </c>
      <c r="Q8" s="93" t="str">
        <f t="shared" ca="1" si="0"/>
        <v>ПРЭМ-300</v>
      </c>
      <c r="R8" s="93">
        <f t="shared" ca="1" si="1"/>
        <v>300</v>
      </c>
      <c r="S8" s="93">
        <f t="shared" ca="1" si="22"/>
        <v>0</v>
      </c>
      <c r="T8" s="93">
        <f t="shared" ca="1" si="2"/>
        <v>0.46090177702600921</v>
      </c>
      <c r="U8" s="289">
        <f t="shared" ca="1" si="23"/>
        <v>605766.70114864898</v>
      </c>
      <c r="V8" s="289">
        <f t="shared" ca="1" si="3"/>
        <v>2.2301284149115197E-2</v>
      </c>
      <c r="W8" s="93">
        <f t="shared" ca="1" si="4"/>
        <v>0</v>
      </c>
      <c r="X8" s="93">
        <f t="shared" ca="1" si="5"/>
        <v>0</v>
      </c>
      <c r="Y8" s="93">
        <f t="shared" ca="1" si="6"/>
        <v>0</v>
      </c>
      <c r="Z8" s="290" t="e">
        <f t="shared" ca="1" si="7"/>
        <v>#N/A</v>
      </c>
      <c r="AA8" s="290">
        <f t="shared" ca="1" si="8"/>
        <v>0</v>
      </c>
      <c r="AB8" s="93">
        <f t="shared" ca="1" si="9"/>
        <v>9.6584541982421457E-4</v>
      </c>
      <c r="AC8" s="291" t="e">
        <f t="shared" ca="1" si="10"/>
        <v>#N/A</v>
      </c>
      <c r="AD8" s="93">
        <f t="shared" ca="1" si="11"/>
        <v>0</v>
      </c>
      <c r="AE8" s="93" t="e">
        <f t="shared" ca="1" si="12"/>
        <v>#N/A</v>
      </c>
      <c r="AF8" s="93">
        <f t="shared" ca="1" si="13"/>
        <v>9.6584541982421457E-4</v>
      </c>
      <c r="AG8" s="292">
        <f t="shared" ca="1" si="14"/>
        <v>20.7</v>
      </c>
      <c r="AH8" s="292">
        <f t="shared" ca="1" si="15"/>
        <v>12.4</v>
      </c>
      <c r="AI8" s="292">
        <f t="shared" ca="1" si="16"/>
        <v>6.89</v>
      </c>
      <c r="AJ8" s="292">
        <f t="shared" ca="1" si="17"/>
        <v>3100</v>
      </c>
      <c r="AK8" s="293" t="b">
        <f t="shared" ca="1" si="18"/>
        <v>1</v>
      </c>
      <c r="AL8" s="293" t="b">
        <f t="shared" ca="1" si="19"/>
        <v>1</v>
      </c>
      <c r="AM8" s="293" t="b">
        <f t="shared" ca="1" si="20"/>
        <v>1</v>
      </c>
      <c r="AN8" s="294" t="str">
        <f t="shared" ca="1" si="24"/>
        <v>D</v>
      </c>
      <c r="AO8" s="294" t="e">
        <f t="shared" ca="1" si="25"/>
        <v>#N/A</v>
      </c>
      <c r="AP8" s="294" t="b">
        <f t="shared" ca="1" si="26"/>
        <v>1</v>
      </c>
      <c r="AQ8" s="311"/>
      <c r="AR8" s="312"/>
      <c r="AS8" s="313"/>
      <c r="AT8" s="314"/>
      <c r="AU8" s="314"/>
      <c r="AV8" s="41"/>
      <c r="AW8" s="41"/>
      <c r="AX8" s="41"/>
      <c r="AY8" s="41"/>
      <c r="AZ8" s="41"/>
      <c r="BA8" s="41"/>
      <c r="BB8" s="41"/>
      <c r="BC8" s="41"/>
    </row>
    <row r="9" spans="2:55" ht="18" customHeight="1" x14ac:dyDescent="0.35">
      <c r="L9" s="305" t="s">
        <v>73</v>
      </c>
      <c r="M9" s="315">
        <f>D60</f>
        <v>2.2825707132071719E-7</v>
      </c>
      <c r="N9" s="88"/>
      <c r="O9" s="88">
        <v>6</v>
      </c>
      <c r="P9" s="93" t="str">
        <f t="shared" ca="1" si="21"/>
        <v>---</v>
      </c>
      <c r="Q9" s="93" t="str">
        <f t="shared" ca="1" si="0"/>
        <v>---</v>
      </c>
      <c r="R9" s="93" t="str">
        <f t="shared" ca="1" si="1"/>
        <v>---</v>
      </c>
      <c r="S9" s="93" t="str">
        <f t="shared" ca="1" si="22"/>
        <v>---</v>
      </c>
      <c r="T9" s="93" t="str">
        <f t="shared" ca="1" si="2"/>
        <v>---</v>
      </c>
      <c r="U9" s="289" t="str">
        <f t="shared" ca="1" si="23"/>
        <v>---</v>
      </c>
      <c r="V9" s="289" t="str">
        <f t="shared" ca="1" si="3"/>
        <v>---</v>
      </c>
      <c r="W9" s="93" t="str">
        <f t="shared" ca="1" si="4"/>
        <v>---</v>
      </c>
      <c r="X9" s="93" t="str">
        <f t="shared" ca="1" si="5"/>
        <v>---</v>
      </c>
      <c r="Y9" s="93" t="str">
        <f t="shared" ca="1" si="6"/>
        <v>---</v>
      </c>
      <c r="Z9" s="290" t="str">
        <f t="shared" ca="1" si="7"/>
        <v>---</v>
      </c>
      <c r="AA9" s="290" t="str">
        <f t="shared" ca="1" si="8"/>
        <v>---</v>
      </c>
      <c r="AB9" s="93" t="str">
        <f t="shared" ca="1" si="9"/>
        <v>--</v>
      </c>
      <c r="AC9" s="291" t="str">
        <f t="shared" ca="1" si="10"/>
        <v>--</v>
      </c>
      <c r="AD9" s="93" t="str">
        <f t="shared" ca="1" si="11"/>
        <v>--</v>
      </c>
      <c r="AE9" s="93" t="str">
        <f t="shared" ca="1" si="12"/>
        <v>---</v>
      </c>
      <c r="AF9" s="93" t="str">
        <f t="shared" ca="1" si="13"/>
        <v>---</v>
      </c>
      <c r="AG9" s="292" t="str">
        <f t="shared" ca="1" si="14"/>
        <v>---</v>
      </c>
      <c r="AH9" s="292" t="str">
        <f t="shared" ca="1" si="15"/>
        <v>---</v>
      </c>
      <c r="AI9" s="292" t="str">
        <f t="shared" ca="1" si="16"/>
        <v>---</v>
      </c>
      <c r="AJ9" s="292" t="str">
        <f t="shared" ca="1" si="17"/>
        <v>---</v>
      </c>
      <c r="AK9" s="293" t="str">
        <f t="shared" ca="1" si="18"/>
        <v>---</v>
      </c>
      <c r="AL9" s="293" t="str">
        <f t="shared" ca="1" si="19"/>
        <v>---</v>
      </c>
      <c r="AM9" s="293" t="str">
        <f t="shared" ca="1" si="20"/>
        <v>---</v>
      </c>
      <c r="AN9" s="294" t="str">
        <f t="shared" ca="1" si="24"/>
        <v>---</v>
      </c>
      <c r="AO9" s="294" t="str">
        <f t="shared" ca="1" si="25"/>
        <v>---</v>
      </c>
      <c r="AP9" s="294" t="str">
        <f t="shared" ca="1" si="26"/>
        <v>---</v>
      </c>
      <c r="AQ9" s="91"/>
      <c r="AS9" s="316"/>
      <c r="AT9" s="317"/>
      <c r="AU9" s="338"/>
      <c r="AV9" s="41"/>
      <c r="AW9" s="41"/>
      <c r="AX9" s="41"/>
      <c r="AY9" s="41"/>
      <c r="AZ9" s="41"/>
      <c r="BA9" s="41"/>
      <c r="BB9" s="41"/>
      <c r="BC9" s="41"/>
    </row>
    <row r="10" spans="2:55" ht="18" customHeight="1" thickBot="1" x14ac:dyDescent="0.35">
      <c r="L10" s="318" t="s">
        <v>102</v>
      </c>
      <c r="M10" s="319">
        <f>(M7/3.6)/((PI()*M6^2)/4000)</f>
        <v>0.46090177702600921</v>
      </c>
      <c r="O10" s="88">
        <v>7</v>
      </c>
      <c r="P10" s="93" t="str">
        <f t="shared" ca="1" si="21"/>
        <v>---</v>
      </c>
      <c r="Q10" s="93" t="str">
        <f t="shared" ca="1" si="0"/>
        <v>---</v>
      </c>
      <c r="R10" s="93" t="str">
        <f t="shared" ca="1" si="1"/>
        <v>---</v>
      </c>
      <c r="S10" s="93" t="str">
        <f t="shared" ca="1" si="22"/>
        <v>---</v>
      </c>
      <c r="T10" s="93" t="str">
        <f t="shared" ca="1" si="2"/>
        <v>---</v>
      </c>
      <c r="U10" s="289" t="str">
        <f t="shared" ca="1" si="23"/>
        <v>---</v>
      </c>
      <c r="V10" s="289" t="str">
        <f t="shared" ca="1" si="3"/>
        <v>---</v>
      </c>
      <c r="W10" s="93" t="str">
        <f t="shared" ca="1" si="4"/>
        <v>---</v>
      </c>
      <c r="X10" s="93" t="str">
        <f t="shared" ca="1" si="5"/>
        <v>---</v>
      </c>
      <c r="Y10" s="93" t="str">
        <f t="shared" ca="1" si="6"/>
        <v>---</v>
      </c>
      <c r="Z10" s="290" t="str">
        <f t="shared" ca="1" si="7"/>
        <v>---</v>
      </c>
      <c r="AA10" s="290" t="str">
        <f t="shared" ca="1" si="8"/>
        <v>---</v>
      </c>
      <c r="AB10" s="93" t="str">
        <f t="shared" ca="1" si="9"/>
        <v>--</v>
      </c>
      <c r="AC10" s="291" t="str">
        <f t="shared" ca="1" si="10"/>
        <v>--</v>
      </c>
      <c r="AD10" s="93" t="str">
        <f t="shared" ca="1" si="11"/>
        <v>--</v>
      </c>
      <c r="AE10" s="93" t="str">
        <f t="shared" ca="1" si="12"/>
        <v>---</v>
      </c>
      <c r="AF10" s="93" t="str">
        <f t="shared" ca="1" si="13"/>
        <v>---</v>
      </c>
      <c r="AG10" s="292" t="str">
        <f t="shared" ca="1" si="14"/>
        <v>---</v>
      </c>
      <c r="AH10" s="292" t="str">
        <f t="shared" ca="1" si="15"/>
        <v>---</v>
      </c>
      <c r="AI10" s="292" t="str">
        <f t="shared" ca="1" si="16"/>
        <v>---</v>
      </c>
      <c r="AJ10" s="292" t="str">
        <f t="shared" ca="1" si="17"/>
        <v>---</v>
      </c>
      <c r="AK10" s="293" t="str">
        <f t="shared" ca="1" si="18"/>
        <v>---</v>
      </c>
      <c r="AL10" s="293" t="str">
        <f t="shared" ca="1" si="19"/>
        <v>---</v>
      </c>
      <c r="AM10" s="293" t="str">
        <f t="shared" ca="1" si="20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  <c r="AU10" s="9"/>
      <c r="AV10" s="41"/>
      <c r="AW10" s="41"/>
      <c r="AX10" s="41"/>
      <c r="AY10" s="41"/>
      <c r="AZ10" s="41"/>
      <c r="BA10" s="41"/>
      <c r="BB10" s="41"/>
      <c r="BC10" s="41"/>
    </row>
    <row r="11" spans="2:55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0"/>
        <v>---</v>
      </c>
      <c r="R11" s="93" t="str">
        <f t="shared" ca="1" si="1"/>
        <v>---</v>
      </c>
      <c r="S11" s="93" t="str">
        <f t="shared" ca="1" si="22"/>
        <v>---</v>
      </c>
      <c r="T11" s="93" t="str">
        <f t="shared" ca="1" si="2"/>
        <v>---</v>
      </c>
      <c r="U11" s="289" t="str">
        <f t="shared" ca="1" si="23"/>
        <v>---</v>
      </c>
      <c r="V11" s="289" t="str">
        <f t="shared" ca="1" si="3"/>
        <v>---</v>
      </c>
      <c r="W11" s="93" t="str">
        <f t="shared" ca="1" si="4"/>
        <v>---</v>
      </c>
      <c r="X11" s="93" t="str">
        <f t="shared" ca="1" si="5"/>
        <v>---</v>
      </c>
      <c r="Y11" s="93" t="str">
        <f t="shared" ca="1" si="6"/>
        <v>---</v>
      </c>
      <c r="Z11" s="290" t="str">
        <f t="shared" ca="1" si="7"/>
        <v>---</v>
      </c>
      <c r="AA11" s="290" t="str">
        <f t="shared" ca="1" si="8"/>
        <v>---</v>
      </c>
      <c r="AB11" s="93" t="str">
        <f t="shared" ca="1" si="9"/>
        <v>--</v>
      </c>
      <c r="AC11" s="291" t="str">
        <f t="shared" ca="1" si="10"/>
        <v>--</v>
      </c>
      <c r="AD11" s="93" t="str">
        <f t="shared" ca="1" si="11"/>
        <v>--</v>
      </c>
      <c r="AE11" s="93" t="str">
        <f t="shared" ca="1" si="12"/>
        <v>---</v>
      </c>
      <c r="AF11" s="93" t="str">
        <f t="shared" ca="1" si="13"/>
        <v>---</v>
      </c>
      <c r="AG11" s="292" t="str">
        <f t="shared" ca="1" si="14"/>
        <v>---</v>
      </c>
      <c r="AH11" s="292" t="str">
        <f t="shared" ca="1" si="15"/>
        <v>---</v>
      </c>
      <c r="AI11" s="292" t="str">
        <f t="shared" ca="1" si="16"/>
        <v>---</v>
      </c>
      <c r="AJ11" s="292" t="str">
        <f t="shared" ca="1" si="17"/>
        <v>---</v>
      </c>
      <c r="AK11" s="293" t="str">
        <f t="shared" ca="1" si="18"/>
        <v>---</v>
      </c>
      <c r="AL11" s="293" t="str">
        <f t="shared" ca="1" si="19"/>
        <v>---</v>
      </c>
      <c r="AM11" s="293" t="str">
        <f t="shared" ca="1" si="20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U11" s="10"/>
      <c r="AV11" s="41"/>
      <c r="AW11" s="41"/>
      <c r="AX11" s="41"/>
      <c r="AY11" s="41"/>
      <c r="AZ11" s="41"/>
      <c r="BA11" s="41"/>
      <c r="BB11" s="41"/>
      <c r="BC11" s="41"/>
    </row>
    <row r="12" spans="2:55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0"/>
        <v>---</v>
      </c>
      <c r="R12" s="93" t="str">
        <f t="shared" ca="1" si="1"/>
        <v>---</v>
      </c>
      <c r="S12" s="93" t="str">
        <f t="shared" ca="1" si="22"/>
        <v>---</v>
      </c>
      <c r="T12" s="93" t="str">
        <f t="shared" ca="1" si="2"/>
        <v>---</v>
      </c>
      <c r="U12" s="289" t="str">
        <f t="shared" ca="1" si="23"/>
        <v>---</v>
      </c>
      <c r="V12" s="289" t="str">
        <f t="shared" ca="1" si="3"/>
        <v>---</v>
      </c>
      <c r="W12" s="93" t="str">
        <f t="shared" ca="1" si="4"/>
        <v>---</v>
      </c>
      <c r="X12" s="93" t="str">
        <f t="shared" ca="1" si="5"/>
        <v>---</v>
      </c>
      <c r="Y12" s="93" t="str">
        <f t="shared" ca="1" si="6"/>
        <v>---</v>
      </c>
      <c r="Z12" s="290" t="str">
        <f t="shared" ca="1" si="7"/>
        <v>---</v>
      </c>
      <c r="AA12" s="290" t="str">
        <f t="shared" ca="1" si="8"/>
        <v>---</v>
      </c>
      <c r="AB12" s="93" t="str">
        <f t="shared" ca="1" si="9"/>
        <v>--</v>
      </c>
      <c r="AC12" s="291" t="str">
        <f t="shared" ca="1" si="10"/>
        <v>--</v>
      </c>
      <c r="AD12" s="93" t="str">
        <f t="shared" ca="1" si="11"/>
        <v>--</v>
      </c>
      <c r="AE12" s="93" t="str">
        <f t="shared" ca="1" si="12"/>
        <v>---</v>
      </c>
      <c r="AF12" s="93" t="str">
        <f t="shared" ca="1" si="13"/>
        <v>---</v>
      </c>
      <c r="AG12" s="292" t="str">
        <f t="shared" ca="1" si="14"/>
        <v>---</v>
      </c>
      <c r="AH12" s="292" t="str">
        <f t="shared" ca="1" si="15"/>
        <v>---</v>
      </c>
      <c r="AI12" s="292" t="str">
        <f t="shared" ca="1" si="16"/>
        <v>---</v>
      </c>
      <c r="AJ12" s="292" t="str">
        <f t="shared" ca="1" si="17"/>
        <v>---</v>
      </c>
      <c r="AK12" s="293" t="str">
        <f t="shared" ca="1" si="18"/>
        <v>---</v>
      </c>
      <c r="AL12" s="293" t="str">
        <f t="shared" ca="1" si="19"/>
        <v>---</v>
      </c>
      <c r="AM12" s="293" t="str">
        <f t="shared" ca="1" si="20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U12" s="10"/>
      <c r="AV12" s="41"/>
      <c r="AW12" s="41"/>
      <c r="AX12" s="41"/>
      <c r="AY12" s="41"/>
      <c r="AZ12" s="41"/>
      <c r="BA12" s="41"/>
      <c r="BB12" s="41"/>
      <c r="BC12" s="41"/>
    </row>
    <row r="13" spans="2:55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0"/>
        <v>---</v>
      </c>
      <c r="R13" s="93" t="str">
        <f t="shared" ca="1" si="1"/>
        <v>---</v>
      </c>
      <c r="S13" s="93" t="str">
        <f t="shared" ca="1" si="22"/>
        <v>---</v>
      </c>
      <c r="T13" s="93" t="str">
        <f t="shared" ca="1" si="2"/>
        <v>---</v>
      </c>
      <c r="U13" s="289" t="str">
        <f t="shared" ca="1" si="23"/>
        <v>---</v>
      </c>
      <c r="V13" s="289" t="str">
        <f t="shared" ca="1" si="3"/>
        <v>---</v>
      </c>
      <c r="W13" s="93" t="str">
        <f t="shared" ca="1" si="4"/>
        <v>---</v>
      </c>
      <c r="X13" s="93" t="str">
        <f t="shared" ca="1" si="5"/>
        <v>---</v>
      </c>
      <c r="Y13" s="93" t="str">
        <f t="shared" ca="1" si="6"/>
        <v>---</v>
      </c>
      <c r="Z13" s="290" t="str">
        <f t="shared" ca="1" si="7"/>
        <v>---</v>
      </c>
      <c r="AA13" s="290" t="str">
        <f t="shared" ca="1" si="8"/>
        <v>---</v>
      </c>
      <c r="AB13" s="93" t="str">
        <f t="shared" ca="1" si="9"/>
        <v>--</v>
      </c>
      <c r="AC13" s="291" t="str">
        <f t="shared" ca="1" si="10"/>
        <v>--</v>
      </c>
      <c r="AD13" s="93" t="str">
        <f t="shared" ca="1" si="11"/>
        <v>--</v>
      </c>
      <c r="AE13" s="93" t="str">
        <f t="shared" ca="1" si="12"/>
        <v>---</v>
      </c>
      <c r="AF13" s="93" t="str">
        <f t="shared" ca="1" si="13"/>
        <v>---</v>
      </c>
      <c r="AG13" s="292" t="str">
        <f t="shared" ca="1" si="14"/>
        <v>---</v>
      </c>
      <c r="AH13" s="292" t="str">
        <f t="shared" ca="1" si="15"/>
        <v>---</v>
      </c>
      <c r="AI13" s="292" t="str">
        <f t="shared" ca="1" si="16"/>
        <v>---</v>
      </c>
      <c r="AJ13" s="292" t="str">
        <f t="shared" ca="1" si="17"/>
        <v>---</v>
      </c>
      <c r="AK13" s="293" t="str">
        <f t="shared" ca="1" si="18"/>
        <v>---</v>
      </c>
      <c r="AL13" s="293" t="str">
        <f t="shared" ca="1" si="19"/>
        <v>---</v>
      </c>
      <c r="AM13" s="293" t="str">
        <f t="shared" ca="1" si="20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U13" s="10"/>
      <c r="AV13" s="41"/>
      <c r="AW13" s="41"/>
      <c r="AX13" s="41"/>
      <c r="AY13" s="41"/>
      <c r="AZ13" s="41"/>
      <c r="BA13" s="41"/>
      <c r="BB13" s="41"/>
      <c r="BC13" s="41"/>
    </row>
    <row r="14" spans="2:55" ht="18" customHeight="1" thickBot="1" x14ac:dyDescent="0.35">
      <c r="T14" s="321" t="s">
        <v>411</v>
      </c>
      <c r="Z14" s="322"/>
      <c r="AA14" s="322"/>
      <c r="AS14" s="41"/>
      <c r="AU14" s="10"/>
      <c r="AV14" s="41"/>
      <c r="AW14" s="41"/>
      <c r="AX14" s="41"/>
      <c r="AY14" s="41"/>
      <c r="AZ14" s="41"/>
      <c r="BA14" s="41"/>
      <c r="BB14" s="41"/>
      <c r="BC14" s="41"/>
    </row>
    <row r="15" spans="2:55" ht="18" customHeight="1" thickBot="1" x14ac:dyDescent="0.35">
      <c r="N15" s="262"/>
      <c r="O15" s="263" t="s">
        <v>406</v>
      </c>
      <c r="P15" s="264">
        <f>MATCH(M19,DyTr_New,0)</f>
        <v>55</v>
      </c>
      <c r="Q15" s="265" t="e">
        <f ca="1">MATCH(TRUE,AO17:AO26,0)</f>
        <v>#N/A</v>
      </c>
      <c r="R15" s="266" t="s">
        <v>103</v>
      </c>
      <c r="S15" s="267"/>
      <c r="T15" s="323" t="e">
        <f ca="1">IF(M6=M19,Q2,Q15)</f>
        <v>#N/A</v>
      </c>
      <c r="U15" s="268" t="e">
        <f ca="1">MATCH(TRUE,AO17:AO26,0)</f>
        <v>#N/A</v>
      </c>
      <c r="V15" s="269" t="s">
        <v>407</v>
      </c>
      <c r="W15" s="270"/>
      <c r="X15" s="270"/>
      <c r="Y15" s="270"/>
      <c r="Z15" s="838" t="s">
        <v>206</v>
      </c>
      <c r="AA15" s="838"/>
      <c r="AB15" s="258"/>
      <c r="AG15" s="826" t="s">
        <v>75</v>
      </c>
      <c r="AH15" s="826"/>
      <c r="AI15" s="826"/>
      <c r="AJ15" s="271" t="s">
        <v>66</v>
      </c>
      <c r="AK15" s="810" t="s">
        <v>65</v>
      </c>
      <c r="AL15" s="810"/>
      <c r="AM15" s="810"/>
      <c r="AN15" s="272"/>
      <c r="AO15" s="273" t="e">
        <f ca="1">MATCH(TRUE,AO17:AO26,0)</f>
        <v>#N/A</v>
      </c>
      <c r="AP15" s="273">
        <f ca="1">MATCH(TRUE,AP17:AP26,0)</f>
        <v>2</v>
      </c>
      <c r="AQ15" s="802" t="s">
        <v>69</v>
      </c>
      <c r="AR15" s="803"/>
      <c r="AS15" s="41"/>
      <c r="AU15" s="10"/>
      <c r="AV15" s="41"/>
      <c r="AW15" s="41"/>
      <c r="AX15" s="41"/>
      <c r="AY15" s="41"/>
      <c r="AZ15" s="41"/>
      <c r="BA15" s="41"/>
      <c r="BB15" s="41"/>
      <c r="BC15" s="41"/>
    </row>
    <row r="16" spans="2:55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ПРЭМ-150-D-Фланец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ПРЭМ-150-D</v>
      </c>
      <c r="AU16" s="10"/>
      <c r="AV16" s="41"/>
      <c r="AW16" s="41"/>
      <c r="AX16" s="41"/>
      <c r="AY16" s="41"/>
      <c r="AZ16" s="41"/>
      <c r="BA16" s="41"/>
      <c r="BB16" s="41"/>
      <c r="BC16" s="41"/>
    </row>
    <row r="17" spans="2:55" ht="18" customHeight="1" x14ac:dyDescent="0.3">
      <c r="L17" s="287" t="s">
        <v>74</v>
      </c>
      <c r="M17" s="288">
        <v>0.5</v>
      </c>
      <c r="N17" s="88">
        <f ca="1">OFFSET(DyTr_New,P15-1,1,1)</f>
        <v>5</v>
      </c>
      <c r="O17" s="88">
        <v>1</v>
      </c>
      <c r="P17" s="93" t="str">
        <f t="shared" ref="P17:P26" ca="1" si="27">IF(O17&lt;=$N$17,OFFSET(DyTr_New,$P$15-2+O17,4,1),"---")</f>
        <v>100-300</v>
      </c>
      <c r="Q17" s="93" t="str">
        <f t="shared" ref="Q17:Q26" ca="1" si="28">IF(O17&lt;=$N$17,OFFSET(DyTr_New,$P$15-2+O17,2,1),"---")</f>
        <v>ПРЭМ-100</v>
      </c>
      <c r="R17" s="93">
        <f t="shared" ref="R17:R26" ca="1" si="29">IF(O17&lt;=$N$17,OFFSET(DyTr_New,$P$15-2+O17,5,1),"---")</f>
        <v>100</v>
      </c>
      <c r="S17" s="93" t="str">
        <f ca="1">IF(O17&lt;=$N$17,OFFSET(DyTr_New,$P$15-2+O17,6,1),"---")</f>
        <v>75,14</v>
      </c>
      <c r="T17" s="93">
        <f ca="1">IF(O17&lt;=$N$17,($M$20/3.6)/((PI()*R17^2)/4000),"---")</f>
        <v>4.016570452024431</v>
      </c>
      <c r="U17" s="289">
        <f ca="1">IF(O17&lt;=$N$17,(T17*R17/$M$22/1000),"---")</f>
        <v>1002314.8478004114</v>
      </c>
      <c r="V17" s="289">
        <f ca="1">IF(O17&lt;=$N$17,(1/(1.14+2*LOG((R17/$M$17),10))^2),"---")</f>
        <v>3.0329450982592873E-2</v>
      </c>
      <c r="W17" s="93">
        <f ca="1">IF(O17&lt;=$N$17,(IF(S17=0,0,(V17/(8*SIN(RADIANS(S17/2))))*(1-(R17/$M$19)^4))),"---")</f>
        <v>6.141038165287529E-3</v>
      </c>
      <c r="X17" s="93">
        <f ca="1">IF(O17&lt;=$N$17,(3.2*TAN(RADIANS(S17/2))^1.25*(1-(R17/$M$19)^2)^2),"---")</f>
        <v>1.8215594382132052</v>
      </c>
      <c r="Y17" s="93">
        <f ca="1">IF(O17&lt;=$N$17,(IF(S17=0,0,V17/(8*SIN(RADIANS(S17/2)))*(1-(R17/$M$19)^4))),"---")</f>
        <v>6.141038165287529E-3</v>
      </c>
      <c r="Z17" s="290" t="e">
        <f t="shared" ref="Z17:Z26" ca="1" si="30">IF(O17&lt;=$N$17,VLOOKUP(Q17&amp;"-Сэндвич",TypePFlow,3,FALSE),"---")</f>
        <v>#N/A</v>
      </c>
      <c r="AA17" s="290">
        <f t="shared" ref="AA17:AA26" ca="1" si="31">IF(O17&lt;=$N$17,VLOOKUP(Q17&amp;"-Фланец",TypePFlow,3,FALSE),"---")</f>
        <v>0</v>
      </c>
      <c r="AB17" s="93">
        <f t="shared" ref="AB17:AB26" ca="1" si="32">IF(O17&lt;=$N$17,(V17*4+W17+X17+Y17)*T17^2/(2*9.81),"--")</f>
        <v>1.6076589669976151</v>
      </c>
      <c r="AC17" s="291" t="e">
        <f t="shared" ref="AC17:AC26" ca="1" si="33">IF(O17&lt;=$N$17,(Z17*$M$20^2),"--")</f>
        <v>#N/A</v>
      </c>
      <c r="AD17" s="93">
        <f t="shared" ref="AD17:AD26" ca="1" si="34">IF(O17&lt;=$N$17,(AA17*$M$20^2),"--")</f>
        <v>0</v>
      </c>
      <c r="AE17" s="93" t="e">
        <f t="shared" ref="AE17:AE26" ca="1" si="35">IF(O17&lt;=$N$17,(AB17+AC17),"---")</f>
        <v>#N/A</v>
      </c>
      <c r="AF17" s="93">
        <f t="shared" ref="AF17:AF26" ca="1" si="36">IF(O17&lt;=$N$17,(AB17+AD17),"---")</f>
        <v>1.6076589669976151</v>
      </c>
      <c r="AG17" s="292">
        <f t="shared" ref="AG17:AG26" ca="1" si="37">IF(O17&lt;=$N$17,VLOOKUP(Q17&amp;"-D",ParamPiterflow,2,FALSE),"---")</f>
        <v>1.867</v>
      </c>
      <c r="AH17" s="292">
        <f t="shared" ref="AH17:AH26" ca="1" si="38">IF(O17&lt;=$N$17,VLOOKUP(Q17&amp;"-C1",ParamPiterflow,2,FALSE),"---")</f>
        <v>1.1200000000000001</v>
      </c>
      <c r="AI17" s="292">
        <f t="shared" ref="AI17:AI26" ca="1" si="39">IF(O17&lt;=$N$17,VLOOKUP(Q17&amp;"-B1",ParamPiterflow,2,FALSE),"---")</f>
        <v>0.62</v>
      </c>
      <c r="AJ17" s="292">
        <f t="shared" ref="AJ17:AJ26" ca="1" si="40">IF(O17&lt;=$N$17,VLOOKUP(Q17&amp;"-D",ParamPiterflow,4,FALSE),"---")</f>
        <v>280</v>
      </c>
      <c r="AK17" s="293" t="b">
        <f t="shared" ref="AK17:AK26" ca="1" si="41">IF($O17&lt;=$N$17,AND(AG17&lt;$M$21,$AJ17&gt;$M$20),"---")</f>
        <v>1</v>
      </c>
      <c r="AL17" s="293" t="b">
        <f t="shared" ref="AL17:AL26" ca="1" si="42">IF($O17&lt;=$N$17,AND(AH17&lt;$M$21,$AJ17&gt;$M$20),"---")</f>
        <v>1</v>
      </c>
      <c r="AM17" s="293" t="b">
        <f t="shared" ref="AM17:AM26" ca="1" si="43">IF($O17&lt;=$N$17,AND(AI17&lt;$M$21,$AJ17&gt;$M$20),"---")</f>
        <v>1</v>
      </c>
      <c r="AN17" s="294" t="str">
        <f ca="1">IF($O17&lt;=$N$17,IF(AK17,"D",IF(AL17,"C1",IF(AM17,"B1","НЕТ"))),"---")</f>
        <v>D</v>
      </c>
      <c r="AO17" s="294" t="e">
        <f ca="1">IF($O17&lt;=$N$17,AND(AE17&lt;$M$18,NOT(AN17="НЕТ"),IF($E$25="Экономный",T17&lt;=3,IF(AND($E$25="Оптимальный",T17&gt;$E$50),T17&lt;=1.8,IF(AND($E$25="Затратный",T17&gt;$E$50),T17&lt;=1,T17&lt;=3)))),"---")</f>
        <v>#N/A</v>
      </c>
      <c r="AP17" s="294" t="b">
        <f ca="1">IF($O17&lt;=$N$17,AND(AF17&lt;$M$18,NOT(AN17="НЕТ"),IF($E$25="Экономный",T17&lt;=3,IF(AND($E$25="Оптимальный",T17&gt;$E$50),T17&lt;=1.8,IF(AND($E$25="Затратный",T17&gt;$E$50),T17&lt;=1,T17&lt;=3)))),"---")</f>
        <v>0</v>
      </c>
      <c r="AQ17" s="295"/>
      <c r="AR17" s="296"/>
      <c r="AS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" customHeight="1" x14ac:dyDescent="0.3">
      <c r="L18" s="297" t="s">
        <v>189</v>
      </c>
      <c r="M18" s="298">
        <f>E31</f>
        <v>0.5</v>
      </c>
      <c r="N18" s="88"/>
      <c r="O18" s="88">
        <v>2</v>
      </c>
      <c r="P18" s="93" t="str">
        <f t="shared" ca="1" si="27"/>
        <v>150-300</v>
      </c>
      <c r="Q18" s="93" t="str">
        <f t="shared" ca="1" si="28"/>
        <v>ПРЭМ-150</v>
      </c>
      <c r="R18" s="93">
        <f t="shared" ca="1" si="29"/>
        <v>150</v>
      </c>
      <c r="S18" s="93" t="str">
        <f t="shared" ref="S18:S26" ca="1" si="44">IF(O18&lt;=$N$17,OFFSET(DyTr_New,$P$15-2+O18,6,1),"---")</f>
        <v>59,96</v>
      </c>
      <c r="T18" s="93">
        <f t="shared" ref="T18:T26" ca="1" si="45">IF(O18&lt;=$N$17,($M$20/3.6)/((PI()*R18^2)/4000),"---")</f>
        <v>1.7851424231219695</v>
      </c>
      <c r="U18" s="289">
        <f t="shared" ref="U18:U26" ca="1" si="46">IF(O18&lt;=$N$17,(T18*R18/$M$22/1000),"---")</f>
        <v>668209.8985336076</v>
      </c>
      <c r="V18" s="289">
        <f t="shared" ref="V18:V24" ca="1" si="47">IF(O18&lt;=$N$17,(1/(1.14+2*LOG((R18/$M$17),10))^2),"---")</f>
        <v>2.6925299052784478E-2</v>
      </c>
      <c r="W18" s="93">
        <f t="shared" ref="W18:W26" ca="1" si="48">IF(O18&lt;=$N$17,(IF(S18=0,0,(V18/(8*SIN(RADIANS(S18/2))))*(1-(R18/$M$19)^4))),"---")</f>
        <v>6.3144350562130309E-3</v>
      </c>
      <c r="X18" s="93">
        <f t="shared" ref="X18:X26" ca="1" si="49">IF(O18&lt;=$N$17,(3.2*TAN(RADIANS(S18/2))^1.25*(1-(R18/$M$19)^2)^2),"---")</f>
        <v>0.90496963797519814</v>
      </c>
      <c r="Y18" s="93">
        <f t="shared" ref="Y18:Y26" ca="1" si="50">IF(O18&lt;=$N$17,(IF(S18=0,0,V18/(8*SIN(RADIANS(S18/2)))*(1-(R18/$M$19)^4))),"---")</f>
        <v>6.3144350562130309E-3</v>
      </c>
      <c r="Z18" s="290" t="e">
        <f t="shared" ca="1" si="30"/>
        <v>#N/A</v>
      </c>
      <c r="AA18" s="290">
        <f t="shared" ca="1" si="31"/>
        <v>0</v>
      </c>
      <c r="AB18" s="93">
        <f t="shared" ca="1" si="32"/>
        <v>0.16653195134152587</v>
      </c>
      <c r="AC18" s="291" t="e">
        <f t="shared" ca="1" si="33"/>
        <v>#N/A</v>
      </c>
      <c r="AD18" s="93">
        <f t="shared" ca="1" si="34"/>
        <v>0</v>
      </c>
      <c r="AE18" s="93" t="e">
        <f t="shared" ca="1" si="35"/>
        <v>#N/A</v>
      </c>
      <c r="AF18" s="93">
        <f t="shared" ca="1" si="36"/>
        <v>0.16653195134152587</v>
      </c>
      <c r="AG18" s="292">
        <f t="shared" ca="1" si="37"/>
        <v>4.2</v>
      </c>
      <c r="AH18" s="292">
        <f t="shared" ca="1" si="38"/>
        <v>2.52</v>
      </c>
      <c r="AI18" s="292">
        <f t="shared" ca="1" si="39"/>
        <v>1.4</v>
      </c>
      <c r="AJ18" s="292">
        <f t="shared" ca="1" si="40"/>
        <v>630</v>
      </c>
      <c r="AK18" s="293" t="b">
        <f t="shared" ca="1" si="41"/>
        <v>1</v>
      </c>
      <c r="AL18" s="293" t="b">
        <f t="shared" ca="1" si="42"/>
        <v>1</v>
      </c>
      <c r="AM18" s="293" t="b">
        <f t="shared" ca="1" si="43"/>
        <v>1</v>
      </c>
      <c r="AN18" s="294" t="str">
        <f t="shared" ref="AN18:AN26" ca="1" si="51">IF($O18&lt;=$N$17,IF(AK18,"D",IF(AL18,"C1",IF(AM18,"B1","НЕТ"))),"---")</f>
        <v>D</v>
      </c>
      <c r="AO18" s="294" t="e">
        <f t="shared" ref="AO18:AO26" ca="1" si="52">IF($O18&lt;=$N$17,AND(AE18&lt;$M$18,NOT(AN18="НЕТ"),IF($E$25="Экономный",T18&lt;=3,IF(AND($E$25="Оптимальный",T18&gt;$E$50),T18&lt;=1.8,IF(AND($E$25="Затратный",T18&gt;$E$50),T18&lt;=1,T18&lt;=3)))),"---")</f>
        <v>#N/A</v>
      </c>
      <c r="AP18" s="294" t="b">
        <f t="shared" ref="AP18:AP26" ca="1" si="53">IF($O18&lt;=$N$17,AND(AF18&lt;$M$18,NOT(AN18="НЕТ"),IF($E$25="Экономный",T18&lt;=3,IF(AND($E$25="Оптимальный",T18&gt;$E$50),T18&lt;=1.8,IF(AND($E$25="Затратный",T18&gt;$E$50),T18&lt;=1,T18&lt;=3)))),"---")</f>
        <v>1</v>
      </c>
      <c r="AQ18" s="299" t="s">
        <v>18</v>
      </c>
      <c r="AR18" s="300">
        <f ca="1">OFFSET(T17,IF(ISERROR(AO15),IF(ISERROR(AP15),"НЕТ",AP15),AO15)-1,0,1)</f>
        <v>1.7851424231219695</v>
      </c>
      <c r="AS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" customHeight="1" x14ac:dyDescent="0.3">
      <c r="L19" s="302" t="s">
        <v>410</v>
      </c>
      <c r="M19" s="303">
        <f>$E$32</f>
        <v>300</v>
      </c>
      <c r="N19" s="88"/>
      <c r="O19" s="88">
        <v>3</v>
      </c>
      <c r="P19" s="93" t="str">
        <f t="shared" ca="1" si="27"/>
        <v>200-300</v>
      </c>
      <c r="Q19" s="93" t="str">
        <f t="shared" ca="1" si="28"/>
        <v>ПРЭМ-200</v>
      </c>
      <c r="R19" s="93">
        <f t="shared" ca="1" si="29"/>
        <v>200</v>
      </c>
      <c r="S19" s="93" t="str">
        <f t="shared" ca="1" si="44"/>
        <v>32,78</v>
      </c>
      <c r="T19" s="93">
        <f t="shared" ca="1" si="45"/>
        <v>1.0041426130061077</v>
      </c>
      <c r="U19" s="289">
        <f t="shared" ca="1" si="46"/>
        <v>501157.4239002057</v>
      </c>
      <c r="V19" s="289">
        <f t="shared" ca="1" si="47"/>
        <v>2.4846042519733533E-2</v>
      </c>
      <c r="W19" s="93">
        <f t="shared" ca="1" si="48"/>
        <v>8.832396326579197E-3</v>
      </c>
      <c r="X19" s="93">
        <f t="shared" ca="1" si="49"/>
        <v>0.21393035431368462</v>
      </c>
      <c r="Y19" s="93">
        <f t="shared" ca="1" si="50"/>
        <v>8.832396326579197E-3</v>
      </c>
      <c r="Z19" s="290" t="e">
        <f t="shared" ca="1" si="30"/>
        <v>#N/A</v>
      </c>
      <c r="AA19" s="290">
        <f t="shared" ca="1" si="31"/>
        <v>0</v>
      </c>
      <c r="AB19" s="93">
        <f t="shared" ca="1" si="32"/>
        <v>1.7009543094250686E-2</v>
      </c>
      <c r="AC19" s="291" t="e">
        <f t="shared" ca="1" si="33"/>
        <v>#N/A</v>
      </c>
      <c r="AD19" s="93">
        <f t="shared" ca="1" si="34"/>
        <v>0</v>
      </c>
      <c r="AE19" s="93" t="e">
        <f t="shared" ca="1" si="35"/>
        <v>#N/A</v>
      </c>
      <c r="AF19" s="93">
        <f t="shared" ca="1" si="36"/>
        <v>1.7009543094250686E-2</v>
      </c>
      <c r="AG19" s="292">
        <f t="shared" ca="1" si="37"/>
        <v>7.5</v>
      </c>
      <c r="AH19" s="292">
        <f t="shared" ca="1" si="38"/>
        <v>4.5</v>
      </c>
      <c r="AI19" s="292">
        <f t="shared" ca="1" si="39"/>
        <v>2.5</v>
      </c>
      <c r="AJ19" s="292">
        <f t="shared" ca="1" si="40"/>
        <v>1130</v>
      </c>
      <c r="AK19" s="293" t="b">
        <f t="shared" ca="1" si="41"/>
        <v>1</v>
      </c>
      <c r="AL19" s="293" t="b">
        <f t="shared" ca="1" si="42"/>
        <v>1</v>
      </c>
      <c r="AM19" s="293" t="b">
        <f t="shared" ca="1" si="43"/>
        <v>1</v>
      </c>
      <c r="AN19" s="294" t="str">
        <f t="shared" ca="1" si="51"/>
        <v>D</v>
      </c>
      <c r="AO19" s="294" t="e">
        <f t="shared" ca="1" si="52"/>
        <v>#N/A</v>
      </c>
      <c r="AP19" s="294" t="b">
        <f t="shared" ca="1" si="53"/>
        <v>1</v>
      </c>
      <c r="AQ19" s="65" t="s">
        <v>22</v>
      </c>
      <c r="AR19" s="300">
        <f ca="1">IF(ISERROR(AO15),IF(ISERROR(AP15),"НЕТ",OFFSET(AF17,AP15-1,0,1)),OFFSET(AE17,AO15-1,0,1))</f>
        <v>0.16653195134152587</v>
      </c>
      <c r="AS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" customHeight="1" x14ac:dyDescent="0.3">
      <c r="L20" s="305" t="s">
        <v>71</v>
      </c>
      <c r="M20" s="306">
        <f>E47</f>
        <v>113.5658540223521</v>
      </c>
      <c r="N20" s="88"/>
      <c r="O20" s="88">
        <v>4</v>
      </c>
      <c r="P20" s="93" t="str">
        <f t="shared" ca="1" si="27"/>
        <v>250-300</v>
      </c>
      <c r="Q20" s="93" t="str">
        <f t="shared" ca="1" si="28"/>
        <v>ПРЭМ-250</v>
      </c>
      <c r="R20" s="93">
        <f t="shared" ca="1" si="29"/>
        <v>250</v>
      </c>
      <c r="S20" s="93" t="str">
        <f t="shared" ca="1" si="44"/>
        <v>16,74</v>
      </c>
      <c r="T20" s="93">
        <f t="shared" ca="1" si="45"/>
        <v>0.64265127232390906</v>
      </c>
      <c r="U20" s="289">
        <f t="shared" ca="1" si="46"/>
        <v>400925.93912016461</v>
      </c>
      <c r="V20" s="289">
        <f t="shared" ca="1" si="47"/>
        <v>2.3394735397684677E-2</v>
      </c>
      <c r="W20" s="93">
        <f t="shared" ca="1" si="48"/>
        <v>1.0401323994329196E-2</v>
      </c>
      <c r="X20" s="93">
        <f t="shared" ca="1" si="49"/>
        <v>2.7224814298793018E-2</v>
      </c>
      <c r="Y20" s="93">
        <f t="shared" ca="1" si="50"/>
        <v>1.0401323994329196E-2</v>
      </c>
      <c r="Z20" s="290" t="e">
        <f t="shared" ca="1" si="30"/>
        <v>#N/A</v>
      </c>
      <c r="AA20" s="290">
        <f t="shared" ca="1" si="31"/>
        <v>0</v>
      </c>
      <c r="AB20" s="93">
        <f t="shared" ca="1" si="32"/>
        <v>2.9808123319649263E-3</v>
      </c>
      <c r="AC20" s="291" t="e">
        <f t="shared" ca="1" si="33"/>
        <v>#N/A</v>
      </c>
      <c r="AD20" s="93">
        <f t="shared" ca="1" si="34"/>
        <v>0</v>
      </c>
      <c r="AE20" s="93" t="e">
        <f t="shared" ca="1" si="35"/>
        <v>#N/A</v>
      </c>
      <c r="AF20" s="93">
        <f t="shared" ca="1" si="36"/>
        <v>2.9808123319649263E-3</v>
      </c>
      <c r="AG20" s="292">
        <f t="shared" ca="1" si="37"/>
        <v>11.3</v>
      </c>
      <c r="AH20" s="292">
        <f t="shared" ca="1" si="38"/>
        <v>6.8</v>
      </c>
      <c r="AI20" s="292">
        <f t="shared" ca="1" si="39"/>
        <v>3.78</v>
      </c>
      <c r="AJ20" s="292">
        <f t="shared" ca="1" si="40"/>
        <v>1700</v>
      </c>
      <c r="AK20" s="293" t="b">
        <f t="shared" ca="1" si="41"/>
        <v>1</v>
      </c>
      <c r="AL20" s="293" t="b">
        <f t="shared" ca="1" si="42"/>
        <v>1</v>
      </c>
      <c r="AM20" s="293" t="b">
        <f t="shared" ca="1" si="43"/>
        <v>1</v>
      </c>
      <c r="AN20" s="294" t="str">
        <f t="shared" ca="1" si="51"/>
        <v>D</v>
      </c>
      <c r="AO20" s="294" t="e">
        <f t="shared" ca="1" si="52"/>
        <v>#N/A</v>
      </c>
      <c r="AP20" s="294" t="b">
        <f t="shared" ca="1" si="53"/>
        <v>1</v>
      </c>
      <c r="AQ20" s="307"/>
      <c r="AR20" s="308"/>
      <c r="AS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" customHeight="1" x14ac:dyDescent="0.3">
      <c r="L21" s="305" t="s">
        <v>72</v>
      </c>
      <c r="M21" s="306">
        <f>E48</f>
        <v>56.782927011176049</v>
      </c>
      <c r="N21" s="88"/>
      <c r="O21" s="88">
        <v>5</v>
      </c>
      <c r="P21" s="93" t="str">
        <f t="shared" ca="1" si="27"/>
        <v>300-300</v>
      </c>
      <c r="Q21" s="93" t="str">
        <f t="shared" ca="1" si="28"/>
        <v>ПРЭМ-300</v>
      </c>
      <c r="R21" s="93">
        <f t="shared" ca="1" si="29"/>
        <v>300</v>
      </c>
      <c r="S21" s="93">
        <f t="shared" ca="1" si="44"/>
        <v>0</v>
      </c>
      <c r="T21" s="93">
        <f t="shared" ca="1" si="45"/>
        <v>0.44628560578049237</v>
      </c>
      <c r="U21" s="289">
        <f t="shared" ca="1" si="46"/>
        <v>334104.9492668038</v>
      </c>
      <c r="V21" s="289">
        <f t="shared" ca="1" si="47"/>
        <v>2.2301284149115197E-2</v>
      </c>
      <c r="W21" s="93">
        <f t="shared" ca="1" si="48"/>
        <v>0</v>
      </c>
      <c r="X21" s="93">
        <f t="shared" ca="1" si="49"/>
        <v>0</v>
      </c>
      <c r="Y21" s="93">
        <f t="shared" ca="1" si="50"/>
        <v>0</v>
      </c>
      <c r="Z21" s="290" t="e">
        <f t="shared" ca="1" si="30"/>
        <v>#N/A</v>
      </c>
      <c r="AA21" s="290">
        <f t="shared" ca="1" si="31"/>
        <v>0</v>
      </c>
      <c r="AB21" s="93">
        <f t="shared" ca="1" si="32"/>
        <v>9.0555872375727513E-4</v>
      </c>
      <c r="AC21" s="291" t="e">
        <f t="shared" ca="1" si="33"/>
        <v>#N/A</v>
      </c>
      <c r="AD21" s="93">
        <f t="shared" ca="1" si="34"/>
        <v>0</v>
      </c>
      <c r="AE21" s="93" t="e">
        <f t="shared" ca="1" si="35"/>
        <v>#N/A</v>
      </c>
      <c r="AF21" s="93">
        <f t="shared" ca="1" si="36"/>
        <v>9.0555872375727513E-4</v>
      </c>
      <c r="AG21" s="292">
        <f t="shared" ca="1" si="37"/>
        <v>20.7</v>
      </c>
      <c r="AH21" s="292">
        <f t="shared" ca="1" si="38"/>
        <v>12.4</v>
      </c>
      <c r="AI21" s="292">
        <f t="shared" ca="1" si="39"/>
        <v>6.89</v>
      </c>
      <c r="AJ21" s="292">
        <f t="shared" ca="1" si="40"/>
        <v>3100</v>
      </c>
      <c r="AK21" s="293" t="b">
        <f t="shared" ca="1" si="41"/>
        <v>1</v>
      </c>
      <c r="AL21" s="293" t="b">
        <f t="shared" ca="1" si="42"/>
        <v>1</v>
      </c>
      <c r="AM21" s="293" t="b">
        <f t="shared" ca="1" si="43"/>
        <v>1</v>
      </c>
      <c r="AN21" s="294" t="str">
        <f t="shared" ca="1" si="51"/>
        <v>D</v>
      </c>
      <c r="AO21" s="294" t="e">
        <f t="shared" ca="1" si="52"/>
        <v>#N/A</v>
      </c>
      <c r="AP21" s="294" t="b">
        <f t="shared" ca="1" si="53"/>
        <v>1</v>
      </c>
      <c r="AQ21" s="311"/>
      <c r="AR21" s="312"/>
      <c r="AS21" s="41"/>
      <c r="AT21" s="259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" customHeight="1" x14ac:dyDescent="0.3">
      <c r="L22" s="305" t="s">
        <v>73</v>
      </c>
      <c r="M22" s="315">
        <f>E60</f>
        <v>4.0072941759157111E-7</v>
      </c>
      <c r="N22" s="88"/>
      <c r="O22" s="88">
        <v>6</v>
      </c>
      <c r="P22" s="93" t="str">
        <f t="shared" ca="1" si="27"/>
        <v>---</v>
      </c>
      <c r="Q22" s="93" t="str">
        <f t="shared" ca="1" si="28"/>
        <v>---</v>
      </c>
      <c r="R22" s="93" t="str">
        <f t="shared" ca="1" si="29"/>
        <v>---</v>
      </c>
      <c r="S22" s="93" t="str">
        <f t="shared" ca="1" si="44"/>
        <v>---</v>
      </c>
      <c r="T22" s="93" t="str">
        <f t="shared" ca="1" si="45"/>
        <v>---</v>
      </c>
      <c r="U22" s="289" t="str">
        <f t="shared" ca="1" si="46"/>
        <v>---</v>
      </c>
      <c r="V22" s="289" t="str">
        <f t="shared" ca="1" si="47"/>
        <v>---</v>
      </c>
      <c r="W22" s="93" t="str">
        <f t="shared" ca="1" si="48"/>
        <v>---</v>
      </c>
      <c r="X22" s="93" t="str">
        <f t="shared" ca="1" si="49"/>
        <v>---</v>
      </c>
      <c r="Y22" s="93" t="str">
        <f t="shared" ca="1" si="50"/>
        <v>---</v>
      </c>
      <c r="Z22" s="290" t="str">
        <f t="shared" ca="1" si="30"/>
        <v>---</v>
      </c>
      <c r="AA22" s="290" t="str">
        <f t="shared" ca="1" si="31"/>
        <v>---</v>
      </c>
      <c r="AB22" s="93" t="str">
        <f t="shared" ca="1" si="32"/>
        <v>--</v>
      </c>
      <c r="AC22" s="291" t="str">
        <f t="shared" ca="1" si="33"/>
        <v>--</v>
      </c>
      <c r="AD22" s="93" t="str">
        <f t="shared" ca="1" si="34"/>
        <v>--</v>
      </c>
      <c r="AE22" s="93" t="str">
        <f t="shared" ca="1" si="35"/>
        <v>---</v>
      </c>
      <c r="AF22" s="93" t="str">
        <f t="shared" ca="1" si="36"/>
        <v>---</v>
      </c>
      <c r="AG22" s="292" t="str">
        <f t="shared" ca="1" si="37"/>
        <v>---</v>
      </c>
      <c r="AH22" s="292" t="str">
        <f t="shared" ca="1" si="38"/>
        <v>---</v>
      </c>
      <c r="AI22" s="292" t="str">
        <f t="shared" ca="1" si="39"/>
        <v>---</v>
      </c>
      <c r="AJ22" s="292" t="str">
        <f t="shared" ca="1" si="40"/>
        <v>---</v>
      </c>
      <c r="AK22" s="293" t="str">
        <f t="shared" ca="1" si="41"/>
        <v>---</v>
      </c>
      <c r="AL22" s="293" t="str">
        <f t="shared" ca="1" si="42"/>
        <v>---</v>
      </c>
      <c r="AM22" s="293" t="str">
        <f t="shared" ca="1" si="43"/>
        <v>---</v>
      </c>
      <c r="AN22" s="294" t="str">
        <f t="shared" ca="1" si="51"/>
        <v>---</v>
      </c>
      <c r="AO22" s="294" t="str">
        <f t="shared" ca="1" si="52"/>
        <v>---</v>
      </c>
      <c r="AP22" s="294" t="str">
        <f t="shared" ca="1" si="53"/>
        <v>---</v>
      </c>
      <c r="AQ22" s="91"/>
      <c r="AS22" s="41"/>
      <c r="AT22" s="259"/>
      <c r="AU22" s="258"/>
      <c r="AV22" s="258"/>
      <c r="AW22" s="349"/>
      <c r="AX22" s="349"/>
      <c r="AY22" s="258"/>
      <c r="AZ22" s="258"/>
      <c r="BA22" s="258"/>
      <c r="BB22" s="258"/>
      <c r="BC22" s="349"/>
    </row>
    <row r="23" spans="2:55" ht="18" customHeight="1" thickBot="1" x14ac:dyDescent="0.35">
      <c r="L23" s="318" t="s">
        <v>102</v>
      </c>
      <c r="M23" s="319">
        <f>(M20/3.6)/((PI()*M19^2)/4000)</f>
        <v>0.44628560578049237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44"/>
        <v>---</v>
      </c>
      <c r="T23" s="93" t="str">
        <f t="shared" ca="1" si="45"/>
        <v>---</v>
      </c>
      <c r="U23" s="289" t="str">
        <f t="shared" ca="1" si="46"/>
        <v>---</v>
      </c>
      <c r="V23" s="289" t="str">
        <f t="shared" ca="1" si="47"/>
        <v>---</v>
      </c>
      <c r="W23" s="93" t="str">
        <f t="shared" ca="1" si="48"/>
        <v>---</v>
      </c>
      <c r="X23" s="93" t="str">
        <f t="shared" ca="1" si="49"/>
        <v>---</v>
      </c>
      <c r="Y23" s="93" t="str">
        <f t="shared" ca="1" si="50"/>
        <v>---</v>
      </c>
      <c r="Z23" s="290" t="str">
        <f t="shared" ca="1" si="30"/>
        <v>---</v>
      </c>
      <c r="AA23" s="290" t="str">
        <f t="shared" ca="1" si="31"/>
        <v>---</v>
      </c>
      <c r="AB23" s="93" t="str">
        <f t="shared" ca="1" si="32"/>
        <v>--</v>
      </c>
      <c r="AC23" s="291" t="str">
        <f t="shared" ca="1" si="33"/>
        <v>--</v>
      </c>
      <c r="AD23" s="93" t="str">
        <f t="shared" ca="1" si="34"/>
        <v>--</v>
      </c>
      <c r="AE23" s="93" t="str">
        <f t="shared" ca="1" si="35"/>
        <v>---</v>
      </c>
      <c r="AF23" s="93" t="str">
        <f t="shared" ca="1" si="36"/>
        <v>---</v>
      </c>
      <c r="AG23" s="292" t="str">
        <f t="shared" ca="1" si="37"/>
        <v>---</v>
      </c>
      <c r="AH23" s="292" t="str">
        <f t="shared" ca="1" si="38"/>
        <v>---</v>
      </c>
      <c r="AI23" s="292" t="str">
        <f t="shared" ca="1" si="39"/>
        <v>---</v>
      </c>
      <c r="AJ23" s="292" t="str">
        <f t="shared" ca="1" si="40"/>
        <v>---</v>
      </c>
      <c r="AK23" s="293" t="str">
        <f t="shared" ca="1" si="41"/>
        <v>---</v>
      </c>
      <c r="AL23" s="293" t="str">
        <f t="shared" ca="1" si="42"/>
        <v>---</v>
      </c>
      <c r="AM23" s="293" t="str">
        <f t="shared" ca="1" si="43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259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2:55" ht="18" customHeight="1" thickBot="1" x14ac:dyDescent="0.35">
      <c r="O24" s="88">
        <v>8</v>
      </c>
      <c r="P24" s="93" t="str">
        <f t="shared" ca="1" si="27"/>
        <v>---</v>
      </c>
      <c r="Q24" s="93" t="str">
        <f t="shared" ca="1" si="28"/>
        <v>---</v>
      </c>
      <c r="R24" s="93" t="str">
        <f t="shared" ca="1" si="29"/>
        <v>---</v>
      </c>
      <c r="S24" s="93" t="str">
        <f t="shared" ca="1" si="44"/>
        <v>---</v>
      </c>
      <c r="T24" s="93" t="str">
        <f t="shared" ca="1" si="45"/>
        <v>---</v>
      </c>
      <c r="U24" s="289" t="str">
        <f t="shared" ca="1" si="46"/>
        <v>---</v>
      </c>
      <c r="V24" s="289" t="str">
        <f t="shared" ca="1" si="47"/>
        <v>---</v>
      </c>
      <c r="W24" s="93" t="str">
        <f t="shared" ca="1" si="48"/>
        <v>---</v>
      </c>
      <c r="X24" s="93" t="str">
        <f t="shared" ca="1" si="49"/>
        <v>---</v>
      </c>
      <c r="Y24" s="93" t="str">
        <f t="shared" ca="1" si="50"/>
        <v>---</v>
      </c>
      <c r="Z24" s="290" t="str">
        <f t="shared" ca="1" si="30"/>
        <v>---</v>
      </c>
      <c r="AA24" s="290" t="str">
        <f t="shared" ca="1" si="31"/>
        <v>---</v>
      </c>
      <c r="AB24" s="93" t="str">
        <f t="shared" ca="1" si="32"/>
        <v>--</v>
      </c>
      <c r="AC24" s="291" t="str">
        <f t="shared" ca="1" si="33"/>
        <v>--</v>
      </c>
      <c r="AD24" s="93" t="str">
        <f t="shared" ca="1" si="34"/>
        <v>--</v>
      </c>
      <c r="AE24" s="93" t="str">
        <f t="shared" ca="1" si="35"/>
        <v>---</v>
      </c>
      <c r="AF24" s="93" t="str">
        <f t="shared" ca="1" si="36"/>
        <v>---</v>
      </c>
      <c r="AG24" s="292" t="str">
        <f t="shared" ca="1" si="37"/>
        <v>---</v>
      </c>
      <c r="AH24" s="292" t="str">
        <f t="shared" ca="1" si="38"/>
        <v>---</v>
      </c>
      <c r="AI24" s="292" t="str">
        <f t="shared" ca="1" si="39"/>
        <v>---</v>
      </c>
      <c r="AJ24" s="292" t="str">
        <f t="shared" ca="1" si="40"/>
        <v>---</v>
      </c>
      <c r="AK24" s="293" t="str">
        <f t="shared" ca="1" si="41"/>
        <v>---</v>
      </c>
      <c r="AL24" s="293" t="str">
        <f t="shared" ca="1" si="42"/>
        <v>---</v>
      </c>
      <c r="AM24" s="293" t="str">
        <f t="shared" ca="1" si="43"/>
        <v>---</v>
      </c>
      <c r="AN24" s="294" t="str">
        <f t="shared" ca="1" si="51"/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259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2:55" ht="25" customHeight="1" thickBot="1" x14ac:dyDescent="0.35">
      <c r="B25" s="800" t="s">
        <v>447</v>
      </c>
      <c r="C25" s="801"/>
      <c r="D25" s="834"/>
      <c r="E25" s="831" t="s">
        <v>449</v>
      </c>
      <c r="F25" s="845"/>
      <c r="G25" s="846"/>
      <c r="O25" s="88">
        <v>9</v>
      </c>
      <c r="P25" s="93" t="str">
        <f t="shared" ca="1" si="27"/>
        <v>---</v>
      </c>
      <c r="Q25" s="93" t="str">
        <f t="shared" ca="1" si="28"/>
        <v>---</v>
      </c>
      <c r="R25" s="93" t="str">
        <f t="shared" ca="1" si="29"/>
        <v>---</v>
      </c>
      <c r="S25" s="93" t="str">
        <f t="shared" ca="1" si="44"/>
        <v>---</v>
      </c>
      <c r="T25" s="93" t="str">
        <f t="shared" ca="1" si="45"/>
        <v>---</v>
      </c>
      <c r="U25" s="289" t="str">
        <f t="shared" ca="1" si="46"/>
        <v>---</v>
      </c>
      <c r="V25" s="289" t="str">
        <f ca="1">IF(O25&lt;=$N$4,(1/(1.14+2*LOG((R25/$M$4),10))^2),"---")</f>
        <v>---</v>
      </c>
      <c r="W25" s="93" t="str">
        <f t="shared" ca="1" si="48"/>
        <v>---</v>
      </c>
      <c r="X25" s="93" t="str">
        <f t="shared" ca="1" si="49"/>
        <v>---</v>
      </c>
      <c r="Y25" s="93" t="str">
        <f t="shared" ca="1" si="50"/>
        <v>---</v>
      </c>
      <c r="Z25" s="290" t="str">
        <f t="shared" ca="1" si="30"/>
        <v>---</v>
      </c>
      <c r="AA25" s="290" t="str">
        <f t="shared" ca="1" si="31"/>
        <v>---</v>
      </c>
      <c r="AB25" s="93" t="str">
        <f t="shared" ca="1" si="32"/>
        <v>--</v>
      </c>
      <c r="AC25" s="291" t="str">
        <f t="shared" ca="1" si="33"/>
        <v>--</v>
      </c>
      <c r="AD25" s="93" t="str">
        <f t="shared" ca="1" si="34"/>
        <v>--</v>
      </c>
      <c r="AE25" s="93" t="str">
        <f t="shared" ca="1" si="35"/>
        <v>---</v>
      </c>
      <c r="AF25" s="93" t="str">
        <f t="shared" ca="1" si="36"/>
        <v>---</v>
      </c>
      <c r="AG25" s="292" t="str">
        <f t="shared" ca="1" si="37"/>
        <v>---</v>
      </c>
      <c r="AH25" s="292" t="str">
        <f t="shared" ca="1" si="38"/>
        <v>---</v>
      </c>
      <c r="AI25" s="292" t="str">
        <f t="shared" ca="1" si="39"/>
        <v>---</v>
      </c>
      <c r="AJ25" s="292" t="str">
        <f t="shared" ca="1" si="40"/>
        <v>---</v>
      </c>
      <c r="AK25" s="293" t="str">
        <f t="shared" ca="1" si="41"/>
        <v>---</v>
      </c>
      <c r="AL25" s="293" t="str">
        <f t="shared" ca="1" si="42"/>
        <v>---</v>
      </c>
      <c r="AM25" s="293" t="str">
        <f t="shared" ca="1" si="43"/>
        <v>---</v>
      </c>
      <c r="AN25" s="294" t="str">
        <f t="shared" ca="1" si="51"/>
        <v>---</v>
      </c>
      <c r="AO25" s="294" t="str">
        <f t="shared" ca="1" si="52"/>
        <v>---</v>
      </c>
      <c r="AP25" s="294" t="str">
        <f t="shared" ca="1" si="53"/>
        <v>---</v>
      </c>
      <c r="AT25" s="259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2:55" ht="18" customHeight="1" thickBot="1" x14ac:dyDescent="0.35">
      <c r="O26" s="88">
        <v>10</v>
      </c>
      <c r="P26" s="93" t="str">
        <f t="shared" ca="1" si="27"/>
        <v>---</v>
      </c>
      <c r="Q26" s="93" t="str">
        <f t="shared" ca="1" si="28"/>
        <v>---</v>
      </c>
      <c r="R26" s="93" t="str">
        <f t="shared" ca="1" si="29"/>
        <v>---</v>
      </c>
      <c r="S26" s="93" t="str">
        <f t="shared" ca="1" si="44"/>
        <v>---</v>
      </c>
      <c r="T26" s="93" t="str">
        <f t="shared" ca="1" si="45"/>
        <v>---</v>
      </c>
      <c r="U26" s="289" t="str">
        <f t="shared" ca="1" si="46"/>
        <v>---</v>
      </c>
      <c r="V26" s="289" t="str">
        <f ca="1">IF(O26&lt;=$N$4,(1/(1.14+2*LOG((R26/$M$4),10))^2),"---")</f>
        <v>---</v>
      </c>
      <c r="W26" s="93" t="str">
        <f t="shared" ca="1" si="48"/>
        <v>---</v>
      </c>
      <c r="X26" s="93" t="str">
        <f t="shared" ca="1" si="49"/>
        <v>---</v>
      </c>
      <c r="Y26" s="93" t="str">
        <f t="shared" ca="1" si="50"/>
        <v>---</v>
      </c>
      <c r="Z26" s="290" t="str">
        <f t="shared" ca="1" si="30"/>
        <v>---</v>
      </c>
      <c r="AA26" s="290" t="str">
        <f t="shared" ca="1" si="31"/>
        <v>---</v>
      </c>
      <c r="AB26" s="93" t="str">
        <f t="shared" ca="1" si="32"/>
        <v>--</v>
      </c>
      <c r="AC26" s="291" t="str">
        <f t="shared" ca="1" si="33"/>
        <v>--</v>
      </c>
      <c r="AD26" s="93" t="str">
        <f t="shared" ca="1" si="34"/>
        <v>--</v>
      </c>
      <c r="AE26" s="93" t="str">
        <f t="shared" ca="1" si="35"/>
        <v>---</v>
      </c>
      <c r="AF26" s="93" t="str">
        <f t="shared" ca="1" si="36"/>
        <v>---</v>
      </c>
      <c r="AG26" s="292" t="str">
        <f t="shared" ca="1" si="37"/>
        <v>---</v>
      </c>
      <c r="AH26" s="292" t="str">
        <f t="shared" ca="1" si="38"/>
        <v>---</v>
      </c>
      <c r="AI26" s="292" t="str">
        <f t="shared" ca="1" si="39"/>
        <v>---</v>
      </c>
      <c r="AJ26" s="292" t="str">
        <f t="shared" ca="1" si="40"/>
        <v>---</v>
      </c>
      <c r="AK26" s="293" t="str">
        <f t="shared" ca="1" si="41"/>
        <v>---</v>
      </c>
      <c r="AL26" s="293" t="str">
        <f t="shared" ca="1" si="42"/>
        <v>---</v>
      </c>
      <c r="AM26" s="293" t="str">
        <f t="shared" ca="1" si="43"/>
        <v>---</v>
      </c>
      <c r="AN26" s="294" t="str">
        <f t="shared" ca="1" si="51"/>
        <v>---</v>
      </c>
      <c r="AO26" s="294" t="str">
        <f t="shared" ca="1" si="52"/>
        <v>---</v>
      </c>
      <c r="AP26" s="294" t="str">
        <f t="shared" ca="1" si="53"/>
        <v>---</v>
      </c>
      <c r="AU26" s="7"/>
      <c r="AV26" s="7"/>
      <c r="AW26" s="7"/>
      <c r="AX26" s="7"/>
      <c r="AY26" s="7"/>
      <c r="AZ26" s="7"/>
      <c r="BA26" s="7"/>
      <c r="BB26" s="7"/>
      <c r="BC26" s="7"/>
    </row>
    <row r="27" spans="2:55" ht="25" customHeight="1" thickBot="1" x14ac:dyDescent="0.45">
      <c r="B27" s="800" t="s">
        <v>17</v>
      </c>
      <c r="C27" s="801"/>
      <c r="D27" s="801"/>
      <c r="E27" s="411"/>
      <c r="F27" s="122"/>
      <c r="G27" s="121"/>
      <c r="Z27" s="322"/>
      <c r="AA27" s="322"/>
      <c r="AN27" s="41"/>
      <c r="AO27" s="41"/>
      <c r="AP27" s="39"/>
      <c r="AQ27" s="39"/>
      <c r="AR27" s="39"/>
      <c r="AS27" s="39"/>
      <c r="AT27" s="104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2:55" ht="18" customHeight="1" thickBot="1" x14ac:dyDescent="0.45">
      <c r="D28" s="811" t="s">
        <v>43</v>
      </c>
      <c r="E28" s="812"/>
      <c r="F28" s="324"/>
      <c r="G28" s="325" t="s">
        <v>42</v>
      </c>
      <c r="H28" s="8"/>
      <c r="N28" s="262"/>
      <c r="O28" s="263" t="s">
        <v>406</v>
      </c>
      <c r="P28" s="264">
        <f>MATCH(M32,DyTr_New,0)</f>
        <v>11</v>
      </c>
      <c r="Q28" s="265">
        <f ca="1">MATCH(TRUE,AO30:AO39,0)</f>
        <v>4</v>
      </c>
      <c r="R28" s="266" t="s">
        <v>103</v>
      </c>
      <c r="S28" s="267"/>
      <c r="U28" s="268">
        <f ca="1">MATCH(TRUE,AO30:AO39,0)</f>
        <v>4</v>
      </c>
      <c r="V28" s="269" t="s">
        <v>407</v>
      </c>
      <c r="W28" s="270"/>
      <c r="X28" s="270"/>
      <c r="Y28" s="270"/>
      <c r="Z28" s="838" t="s">
        <v>206</v>
      </c>
      <c r="AA28" s="838"/>
      <c r="AB28" s="258"/>
      <c r="AG28" s="826" t="s">
        <v>75</v>
      </c>
      <c r="AH28" s="826"/>
      <c r="AI28" s="826"/>
      <c r="AJ28" s="271" t="s">
        <v>66</v>
      </c>
      <c r="AK28" s="810" t="s">
        <v>65</v>
      </c>
      <c r="AL28" s="810"/>
      <c r="AM28" s="810"/>
      <c r="AN28" s="272"/>
      <c r="AO28" s="273">
        <f ca="1">MATCH(TRUE,AO30:AO39,0)</f>
        <v>4</v>
      </c>
      <c r="AP28" s="273">
        <f ca="1">MATCH(TRUE,AP30:AP39,0)</f>
        <v>4</v>
      </c>
      <c r="AQ28" s="802" t="s">
        <v>69</v>
      </c>
      <c r="AR28" s="803"/>
      <c r="AS28" s="259"/>
      <c r="AT28" s="259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2:55" ht="18" customHeight="1" thickBot="1" x14ac:dyDescent="0.45">
      <c r="B29" s="821" t="s">
        <v>68</v>
      </c>
      <c r="C29" s="822"/>
      <c r="D29" s="841">
        <v>5</v>
      </c>
      <c r="E29" s="842"/>
      <c r="F29" s="326"/>
      <c r="G29" s="76">
        <v>0.3</v>
      </c>
      <c r="H29" s="56"/>
      <c r="L29" s="277" t="s">
        <v>77</v>
      </c>
      <c r="M29" s="278" t="s">
        <v>90</v>
      </c>
      <c r="N29" s="279" t="s">
        <v>97</v>
      </c>
      <c r="O29" s="88"/>
      <c r="P29" s="280" t="s">
        <v>93</v>
      </c>
      <c r="Q29" s="280" t="s">
        <v>92</v>
      </c>
      <c r="R29" s="280" t="s">
        <v>408</v>
      </c>
      <c r="S29" s="66" t="s">
        <v>61</v>
      </c>
      <c r="T29" s="280" t="s">
        <v>18</v>
      </c>
      <c r="U29" s="63" t="s">
        <v>20</v>
      </c>
      <c r="V29" s="62" t="s">
        <v>21</v>
      </c>
      <c r="W29" s="63" t="s">
        <v>62</v>
      </c>
      <c r="X29" s="64" t="s">
        <v>63</v>
      </c>
      <c r="Y29" s="64" t="s">
        <v>64</v>
      </c>
      <c r="Z29" s="117" t="s">
        <v>204</v>
      </c>
      <c r="AA29" s="117" t="s">
        <v>205</v>
      </c>
      <c r="AB29" s="63" t="s">
        <v>227</v>
      </c>
      <c r="AC29" s="63" t="s">
        <v>225</v>
      </c>
      <c r="AD29" s="63" t="s">
        <v>226</v>
      </c>
      <c r="AE29" s="63" t="s">
        <v>228</v>
      </c>
      <c r="AF29" s="63" t="s">
        <v>229</v>
      </c>
      <c r="AG29" s="281" t="s">
        <v>351</v>
      </c>
      <c r="AH29" s="281" t="s">
        <v>352</v>
      </c>
      <c r="AI29" s="281" t="s">
        <v>353</v>
      </c>
      <c r="AJ29" s="281"/>
      <c r="AK29" s="281" t="s">
        <v>351</v>
      </c>
      <c r="AL29" s="281" t="s">
        <v>352</v>
      </c>
      <c r="AM29" s="281" t="s">
        <v>353</v>
      </c>
      <c r="AN29" s="281" t="s">
        <v>67</v>
      </c>
      <c r="AO29" s="281" t="s">
        <v>230</v>
      </c>
      <c r="AP29" s="281" t="s">
        <v>231</v>
      </c>
      <c r="AQ29" s="282" t="s">
        <v>409</v>
      </c>
      <c r="AR29" s="283" t="str">
        <f ca="1">IF(ISERROR(AO28),IF(ISERROR(AP28),"НЕТ",OFFSET(Q30,AP28-1,0,1)&amp;"-"&amp;OFFSET(AN30,AP28-1,0,1)&amp;"-Фланец"),OFFSET(Q30,AO28-1,0,1)&amp;"-"&amp;OFFSET(AN30,AO28-1,0,1)&amp;"-Cэндвич")</f>
        <v>ПРЭМ-32-D-Cэндвич</v>
      </c>
      <c r="AT29" s="284" t="str">
        <f ca="1">IF(ISERROR(AO28),IF(ISERROR(AP28),"НЕТ",OFFSET(Q30,AP28-1,0,1)&amp;"-"&amp;OFFSET(AN30,AP28-1,0,1)),OFFSET(Q30,AO28-1,0,1)&amp;"-"&amp;OFFSET(AN30,AO28-1,0,1))</f>
        <v>ПРЭМ-32-D</v>
      </c>
      <c r="AU29" s="18"/>
      <c r="AV29" s="18"/>
      <c r="AW29" s="18"/>
      <c r="AX29" s="18"/>
      <c r="AY29" s="18"/>
      <c r="AZ29" s="18"/>
      <c r="BA29" s="18"/>
      <c r="BB29" s="18"/>
      <c r="BC29" s="18"/>
    </row>
    <row r="30" spans="2:55" ht="18" customHeight="1" thickBot="1" x14ac:dyDescent="0.45">
      <c r="B30" s="821" t="s">
        <v>31</v>
      </c>
      <c r="C30" s="822"/>
      <c r="D30" s="804" t="s">
        <v>37</v>
      </c>
      <c r="E30" s="805"/>
      <c r="F30" s="327"/>
      <c r="G30" s="72">
        <v>60</v>
      </c>
      <c r="H30" s="56"/>
      <c r="L30" s="287" t="s">
        <v>74</v>
      </c>
      <c r="M30" s="288">
        <v>0.5</v>
      </c>
      <c r="N30" s="88">
        <f ca="1">OFFSET(DyTr_New,P28-1,1,1)</f>
        <v>5</v>
      </c>
      <c r="O30" s="88">
        <v>1</v>
      </c>
      <c r="P30" s="93" t="str">
        <f t="shared" ref="P30:P39" ca="1" si="54">IF(O30&lt;=$N$30,OFFSET(DyTr_New,$P$28-2+O30,4,1),"---")</f>
        <v>15-40</v>
      </c>
      <c r="Q30" s="93" t="str">
        <f t="shared" ref="Q30:Q39" ca="1" si="55">IF(O30&lt;=$N$30,OFFSET(DyTr_New,$P$28-2+O30,2,1),"---")</f>
        <v>ПРЭМ-15</v>
      </c>
      <c r="R30" s="93">
        <f t="shared" ref="R30:R39" ca="1" si="56">IF(O30&lt;=$N$30,OFFSET(DyTr_New,$P$28-2+O30,5,1),"---")</f>
        <v>15</v>
      </c>
      <c r="S30" s="93" t="str">
        <f t="shared" ref="S30:S39" ca="1" si="57">IF(O30&lt;=$N$30,OFFSET(DyTr_New,$P$28-2+O30,6,1),"---")</f>
        <v>28,08</v>
      </c>
      <c r="T30" s="93">
        <f ca="1">IF(O30&lt;=$N$30,($M$33/3.6)/((PI()*R30^2)/4000),"---")</f>
        <v>8.7099048592884927</v>
      </c>
      <c r="U30" s="289">
        <f ca="1">IF(O30&lt;=$N$30,(T30*R30/$M$35/1000),"---")</f>
        <v>280204.48981027881</v>
      </c>
      <c r="V30" s="289">
        <f ca="1">IF(O30&lt;=$N$30,(1/(1.14+2*LOG((R30/$M$30),10))^2),"---")</f>
        <v>5.9655827422120798E-2</v>
      </c>
      <c r="W30" s="93">
        <f ca="1">IF(O30&lt;=$N$30,(IF(S30=0,0,(V30/(8*SIN(RADIANS(S30/2))))*(1-(R30/$M$32)^4))),"---")</f>
        <v>3.0129995641405064E-2</v>
      </c>
      <c r="X30" s="93">
        <f ca="1">IF(O30&lt;=$N$30,(3.2*TAN(RADIANS(S30/2))^1.25*(1-(R30/$M$32)^2)^2),"---")</f>
        <v>0.41791857056771953</v>
      </c>
      <c r="Y30" s="93">
        <f ca="1">IF(O30&lt;=$N$30,(IF(S30=0,0,V30/(8*SIN(RADIANS(S30/2)))*(1-(R30/$M$32)^4))),"---")</f>
        <v>3.0129995641405064E-2</v>
      </c>
      <c r="Z30" s="290">
        <f t="shared" ref="Z30:Z39" ca="1" si="58">IF(O30&lt;=$N$30,VLOOKUP(Q30&amp;"-Сэндвич",TypePFlow,3,FALSE),"---")</f>
        <v>0</v>
      </c>
      <c r="AA30" s="290">
        <f t="shared" ref="AA30:AA39" ca="1" si="59">IF(O30&lt;=$N$30,VLOOKUP(Q30&amp;"-Фланец",TypePFlow,3,FALSE),"---")</f>
        <v>0</v>
      </c>
      <c r="AB30" s="93">
        <f t="shared" ref="AB30:AB39" ca="1" si="60">IF(O30&lt;=$N$30,(V30*4+W30+X30+Y30)*T30^2/(2*9.81),"--")</f>
        <v>2.7715770069660119</v>
      </c>
      <c r="AC30" s="291">
        <f t="shared" ref="AC30:AC39" ca="1" si="61">IF(O30&lt;=$N$30,(Z30*$M$33^2),"--")</f>
        <v>0</v>
      </c>
      <c r="AD30" s="93">
        <f t="shared" ref="AD30:AD39" ca="1" si="62">IF(O30&lt;=$N$30,(AA30*$M$33^2),"--")</f>
        <v>0</v>
      </c>
      <c r="AE30" s="93">
        <f t="shared" ref="AE30:AE39" ca="1" si="63">IF(O30&lt;=$N$30,(AB30+AC30),"---")</f>
        <v>2.7715770069660119</v>
      </c>
      <c r="AF30" s="93">
        <f t="shared" ref="AF30:AF39" ca="1" si="64">IF(O30&lt;=$N$30,(AB30+AD30),"---")</f>
        <v>2.7715770069660119</v>
      </c>
      <c r="AG30" s="292">
        <f t="shared" ref="AG30:AG39" ca="1" si="65">IF(O30&lt;=$N$30,VLOOKUP(Q30&amp;"-D",ParamPiterflow,2,FALSE),"---")</f>
        <v>0.04</v>
      </c>
      <c r="AH30" s="292">
        <f t="shared" ref="AH30:AH39" ca="1" si="66">IF(O30&lt;=$N$30,VLOOKUP(Q30&amp;"-C1",ParamPiterflow,2,FALSE),"---")</f>
        <v>2.4E-2</v>
      </c>
      <c r="AI30" s="292">
        <f t="shared" ref="AI30:AI39" ca="1" si="67">IF(O30&lt;=$N$30,VLOOKUP(Q30&amp;"-B1",ParamPiterflow,2,FALSE),"---")</f>
        <v>1.2999999999999999E-2</v>
      </c>
      <c r="AJ30" s="292">
        <f t="shared" ref="AJ30:AJ39" ca="1" si="68">IF(O30&lt;=$N$30,VLOOKUP(Q30&amp;"-D",ParamPiterflow,4,FALSE),"---")</f>
        <v>6</v>
      </c>
      <c r="AK30" s="293" t="b">
        <f t="shared" ref="AK30:AK39" ca="1" si="69">IF($O30&lt;=$N$30,AND(AG30&lt;$M$34,$AJ30&gt;$M$33),"---")</f>
        <v>1</v>
      </c>
      <c r="AL30" s="293" t="b">
        <f t="shared" ref="AL30:AL39" ca="1" si="70">IF($O30&lt;=$N$30,AND(AH30&lt;$M$34,$AJ30&gt;$M$33),"---")</f>
        <v>1</v>
      </c>
      <c r="AM30" s="293" t="b">
        <f t="shared" ref="AM30:AM39" ca="1" si="71">IF($O30&lt;=$N$30,AND(AI30&lt;$M$34,$AJ30&gt;$M$33),"---")</f>
        <v>1</v>
      </c>
      <c r="AN30" s="294" t="str">
        <f ca="1">IF($O30&lt;=$N$30,IF(AK30,"D",IF(AL30,"C1",IF(AM30,"B1","НЕТ"))),"---")</f>
        <v>D</v>
      </c>
      <c r="AO30" s="294" t="b">
        <f ca="1">IF($O30&lt;=$N$30,AND(AE30&lt;$M$31,NOT(AN30="НЕТ"),IF($E$25="Экономный",T30&lt;=3,IF(AND($E$25="Оптимальный",T30&gt;$G$50),T30&lt;=1.8,IF(AND($E$25="Затратный",T30&gt;$G$50),T30&lt;=1,T30&lt;=3)))),"---")</f>
        <v>0</v>
      </c>
      <c r="AP30" s="294" t="b">
        <f ca="1">IF($O30&lt;=$N$30,AND(AF30&lt;$M$31,NOT(AN30="НЕТ"),IF($E$25="Экономный",T30&lt;=3,IF(AND($E$25="Оптимальный",T30&gt;$G$50),T30&lt;=1.8,IF(AND($E$25="Затратный",T30&gt;$G$50),T30&lt;=1,T30&lt;=3)))),"---")</f>
        <v>0</v>
      </c>
      <c r="AQ30" s="295"/>
      <c r="AR30" s="296"/>
      <c r="AS30" s="259"/>
      <c r="AT30" s="259">
        <f ca="1">IF(ISERROR(AO28),IF(ISERROR(AP28),"НЕТ",AP28),AO28)</f>
        <v>4</v>
      </c>
      <c r="AU30" s="21"/>
      <c r="AV30" s="21"/>
      <c r="AW30" s="21"/>
      <c r="AX30" s="21"/>
      <c r="AY30" s="21"/>
      <c r="AZ30" s="21"/>
      <c r="BA30" s="21"/>
      <c r="BB30" s="21"/>
      <c r="BC30" s="21"/>
    </row>
    <row r="31" spans="2:55" ht="18" customHeight="1" x14ac:dyDescent="0.4">
      <c r="B31" s="821" t="s">
        <v>23</v>
      </c>
      <c r="C31" s="822"/>
      <c r="D31" s="94">
        <v>0.5</v>
      </c>
      <c r="E31" s="94">
        <v>0.5</v>
      </c>
      <c r="F31" s="328"/>
      <c r="G31" s="25">
        <v>0.5</v>
      </c>
      <c r="H31" s="329"/>
      <c r="L31" s="297" t="s">
        <v>189</v>
      </c>
      <c r="M31" s="298">
        <f>G31</f>
        <v>0.5</v>
      </c>
      <c r="N31" s="88"/>
      <c r="O31" s="88">
        <v>2</v>
      </c>
      <c r="P31" s="93" t="str">
        <f t="shared" ca="1" si="54"/>
        <v>20-40</v>
      </c>
      <c r="Q31" s="93" t="str">
        <f t="shared" ca="1" si="55"/>
        <v>ПРЭМ-20</v>
      </c>
      <c r="R31" s="93">
        <f t="shared" ca="1" si="56"/>
        <v>20</v>
      </c>
      <c r="S31" s="93" t="str">
        <f t="shared" ca="1" si="57"/>
        <v>53,14</v>
      </c>
      <c r="T31" s="93">
        <f t="shared" ref="T31:T39" ca="1" si="72">IF(O31&lt;=$N$30,($M$33/3.6)/((PI()*R31^2)/4000),"---")</f>
        <v>4.8993214833497776</v>
      </c>
      <c r="U31" s="289">
        <f t="shared" ref="U31:U39" ca="1" si="73">IF(O31&lt;=$N$30,(T31*R31/$M$35/1000),"---")</f>
        <v>210153.36735770915</v>
      </c>
      <c r="V31" s="289">
        <f t="shared" ref="V31:V39" ca="1" si="74">IF(O31&lt;=$N$30,(1/(1.14+2*LOG((R31/$M$30),10))^2),"---")</f>
        <v>5.2990299783484442E-2</v>
      </c>
      <c r="W31" s="93">
        <f t="shared" ref="W31:W39" ca="1" si="75">IF(O31&lt;=$N$30,(IF(S31=0,0,(V31/(8*SIN(RADIANS(S31/2))))*(1-(R31/$M$32)^4))),"---")</f>
        <v>1.3883138404978212E-2</v>
      </c>
      <c r="X31" s="93">
        <f t="shared" ref="X31:X39" ca="1" si="76">IF(O31&lt;=$N$30,(3.2*TAN(RADIANS(S31/2))^1.25*(1-(R31/$M$32)^2)^2),"---")</f>
        <v>0.75701106263930373</v>
      </c>
      <c r="Y31" s="93">
        <f t="shared" ref="Y31:Y39" ca="1" si="77">IF(O31&lt;=$N$30,(IF(S31=0,0,V31/(8*SIN(RADIANS(S31/2)))*(1-(R31/$M$32)^4))),"---")</f>
        <v>1.3883138404978212E-2</v>
      </c>
      <c r="Z31" s="290">
        <f t="shared" ca="1" si="58"/>
        <v>0</v>
      </c>
      <c r="AA31" s="290">
        <f t="shared" ca="1" si="59"/>
        <v>0</v>
      </c>
      <c r="AB31" s="93">
        <f t="shared" ca="1" si="60"/>
        <v>1.2194222728879356</v>
      </c>
      <c r="AC31" s="291">
        <f t="shared" ca="1" si="61"/>
        <v>0</v>
      </c>
      <c r="AD31" s="93">
        <f t="shared" ca="1" si="62"/>
        <v>0</v>
      </c>
      <c r="AE31" s="93">
        <f t="shared" ca="1" si="63"/>
        <v>1.2194222728879356</v>
      </c>
      <c r="AF31" s="93">
        <f t="shared" ca="1" si="64"/>
        <v>1.2194222728879356</v>
      </c>
      <c r="AG31" s="292">
        <f t="shared" ca="1" si="65"/>
        <v>0.08</v>
      </c>
      <c r="AH31" s="292">
        <f t="shared" ca="1" si="66"/>
        <v>4.8000000000000001E-2</v>
      </c>
      <c r="AI31" s="292">
        <f t="shared" ca="1" si="67"/>
        <v>2.7E-2</v>
      </c>
      <c r="AJ31" s="292">
        <f t="shared" ca="1" si="68"/>
        <v>12</v>
      </c>
      <c r="AK31" s="293" t="b">
        <f t="shared" ca="1" si="69"/>
        <v>1</v>
      </c>
      <c r="AL31" s="293" t="b">
        <f t="shared" ca="1" si="70"/>
        <v>1</v>
      </c>
      <c r="AM31" s="293" t="b">
        <f t="shared" ca="1" si="71"/>
        <v>1</v>
      </c>
      <c r="AN31" s="294" t="str">
        <f t="shared" ref="AN31:AN39" ca="1" si="78">IF($O31&lt;=$N$30,IF(AK31,"D",IF(AL31,"C1",IF(AM31,"B1","НЕТ"))),"---")</f>
        <v>D</v>
      </c>
      <c r="AO31" s="294" t="b">
        <f t="shared" ref="AO31:AO39" ca="1" si="79">IF($O31&lt;=$N$30,AND(AE31&lt;$M$31,NOT(AN31="НЕТ"),IF($E$25="Экономный",T31&lt;=3,IF(AND($E$25="Оптимальный",T31&gt;$G$50),T31&lt;=1.8,IF(AND($E$25="Затратный",T31&gt;$G$50),T31&lt;=1,T31&lt;=3)))),"---")</f>
        <v>0</v>
      </c>
      <c r="AP31" s="294" t="b">
        <f t="shared" ref="AP31:AP39" ca="1" si="80">IF($O31&lt;=$N$30,AND(AF31&lt;$M$31,NOT(AN31="НЕТ"),IF($E$25="Экономный",T31&lt;=3,IF(AND($E$25="Оптимальный",T31&gt;$G$50),T31&lt;=1.8,IF(AND($E$25="Затратный",T31&gt;$G$50),T31&lt;=1,T31&lt;=3)))),"---")</f>
        <v>0</v>
      </c>
      <c r="AQ31" s="299" t="s">
        <v>18</v>
      </c>
      <c r="AR31" s="300">
        <f ca="1">OFFSET(T30,IF(ISERROR(AO28),IF(ISERROR(AP28),"НЕТ",AP28),AO28)-1,0,1)</f>
        <v>1.9137974544335066</v>
      </c>
      <c r="AS31" s="259"/>
      <c r="AT31" s="259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2:55" ht="18" customHeight="1" x14ac:dyDescent="0.4">
      <c r="B32" s="821" t="s">
        <v>412</v>
      </c>
      <c r="C32" s="822"/>
      <c r="D32" s="15">
        <v>300</v>
      </c>
      <c r="E32" s="15">
        <v>300</v>
      </c>
      <c r="F32" s="330"/>
      <c r="G32" s="15">
        <v>40</v>
      </c>
      <c r="H32" s="329"/>
      <c r="L32" s="302" t="s">
        <v>410</v>
      </c>
      <c r="M32" s="303">
        <f>$G$32</f>
        <v>40</v>
      </c>
      <c r="N32" s="88"/>
      <c r="O32" s="88">
        <v>3</v>
      </c>
      <c r="P32" s="93" t="str">
        <f t="shared" ca="1" si="54"/>
        <v>25-40</v>
      </c>
      <c r="Q32" s="93" t="str">
        <f t="shared" ca="1" si="55"/>
        <v>ПРЭМ-25</v>
      </c>
      <c r="R32" s="93">
        <f t="shared" ca="1" si="56"/>
        <v>25</v>
      </c>
      <c r="S32" s="93" t="str">
        <f t="shared" ca="1" si="57"/>
        <v>41,12</v>
      </c>
      <c r="T32" s="93">
        <f t="shared" ca="1" si="72"/>
        <v>3.1355657493438573</v>
      </c>
      <c r="U32" s="289">
        <f t="shared" ca="1" si="73"/>
        <v>168122.69388616728</v>
      </c>
      <c r="V32" s="289">
        <f t="shared" ca="1" si="74"/>
        <v>4.8560427292756572E-2</v>
      </c>
      <c r="W32" s="93">
        <f t="shared" ca="1" si="75"/>
        <v>1.4646957589676501E-2</v>
      </c>
      <c r="X32" s="93">
        <f t="shared" ca="1" si="76"/>
        <v>0.34879664108793468</v>
      </c>
      <c r="Y32" s="93">
        <f t="shared" ca="1" si="77"/>
        <v>1.4646957589676501E-2</v>
      </c>
      <c r="Z32" s="290">
        <f t="shared" ca="1" si="58"/>
        <v>0</v>
      </c>
      <c r="AA32" s="290">
        <f t="shared" ca="1" si="59"/>
        <v>0</v>
      </c>
      <c r="AB32" s="93">
        <f t="shared" ca="1" si="60"/>
        <v>0.28680125725688138</v>
      </c>
      <c r="AC32" s="291">
        <f t="shared" ca="1" si="61"/>
        <v>0</v>
      </c>
      <c r="AD32" s="93">
        <f t="shared" ca="1" si="62"/>
        <v>0</v>
      </c>
      <c r="AE32" s="93">
        <f t="shared" ca="1" si="63"/>
        <v>0.28680125725688138</v>
      </c>
      <c r="AF32" s="93">
        <f t="shared" ca="1" si="64"/>
        <v>0.28680125725688138</v>
      </c>
      <c r="AG32" s="292">
        <f t="shared" ca="1" si="65"/>
        <v>0.12</v>
      </c>
      <c r="AH32" s="292">
        <f t="shared" ca="1" si="66"/>
        <v>7.1999999999999995E-2</v>
      </c>
      <c r="AI32" s="292">
        <f t="shared" ca="1" si="67"/>
        <v>0.04</v>
      </c>
      <c r="AJ32" s="292">
        <f t="shared" ca="1" si="68"/>
        <v>18</v>
      </c>
      <c r="AK32" s="293" t="b">
        <f t="shared" ca="1" si="69"/>
        <v>1</v>
      </c>
      <c r="AL32" s="293" t="b">
        <f t="shared" ca="1" si="70"/>
        <v>1</v>
      </c>
      <c r="AM32" s="293" t="b">
        <f t="shared" ca="1" si="71"/>
        <v>1</v>
      </c>
      <c r="AN32" s="294" t="str">
        <f t="shared" ca="1" si="78"/>
        <v>D</v>
      </c>
      <c r="AO32" s="294" t="b">
        <f t="shared" ca="1" si="79"/>
        <v>0</v>
      </c>
      <c r="AP32" s="294" t="b">
        <f t="shared" ca="1" si="80"/>
        <v>0</v>
      </c>
      <c r="AQ32" s="65" t="s">
        <v>22</v>
      </c>
      <c r="AR32" s="300">
        <f ca="1">IF(ISERROR(AO28),IF(ISERROR(AP28),"НЕТ",OFFSET(AF30,AP28-1,0,1)),OFFSET(AE30,AO28-1,0,1))</f>
        <v>4.9637900623976383E-2</v>
      </c>
      <c r="AS32" s="304"/>
      <c r="AT32" s="91">
        <f ca="1">IF(ISERROR(AO28),IF(ISERROR(AP28),"НЕТ",OFFSET(AF30,AP28-1,0,1)),OFFSET(AE30,AO28-1,0,1))</f>
        <v>4.9637900623976383E-2</v>
      </c>
      <c r="AU32" s="22"/>
      <c r="AV32" s="22"/>
      <c r="AW32" s="22"/>
      <c r="AX32" s="22"/>
      <c r="AY32" s="22"/>
      <c r="AZ32" s="22"/>
      <c r="BA32" s="22"/>
      <c r="BB32" s="22"/>
      <c r="BC32" s="22"/>
    </row>
    <row r="33" spans="1:55" ht="18" customHeight="1" thickBot="1" x14ac:dyDescent="0.45">
      <c r="B33" s="817" t="s">
        <v>30</v>
      </c>
      <c r="C33" s="818"/>
      <c r="D33" s="16">
        <v>7</v>
      </c>
      <c r="E33" s="16">
        <v>5</v>
      </c>
      <c r="F33" s="330"/>
      <c r="G33" s="16">
        <v>10</v>
      </c>
      <c r="H33" s="329"/>
      <c r="L33" s="305" t="s">
        <v>71</v>
      </c>
      <c r="M33" s="306">
        <f>G47</f>
        <v>5.5410020566798712</v>
      </c>
      <c r="N33" s="88"/>
      <c r="O33" s="88">
        <v>4</v>
      </c>
      <c r="P33" s="93" t="str">
        <f t="shared" ca="1" si="54"/>
        <v>32-40</v>
      </c>
      <c r="Q33" s="93" t="str">
        <f t="shared" ca="1" si="55"/>
        <v>ПРЭМ-32</v>
      </c>
      <c r="R33" s="93">
        <f t="shared" ca="1" si="56"/>
        <v>32</v>
      </c>
      <c r="S33" s="93" t="str">
        <f t="shared" ca="1" si="57"/>
        <v>22,62</v>
      </c>
      <c r="T33" s="93">
        <f t="shared" ca="1" si="72"/>
        <v>1.9137974544335066</v>
      </c>
      <c r="U33" s="289">
        <f t="shared" ca="1" si="73"/>
        <v>131345.8545985682</v>
      </c>
      <c r="V33" s="289">
        <f t="shared" ca="1" si="74"/>
        <v>4.4277322004702871E-2</v>
      </c>
      <c r="W33" s="93">
        <f t="shared" ca="1" si="75"/>
        <v>1.6661796369831432E-2</v>
      </c>
      <c r="X33" s="93">
        <f t="shared" ca="1" si="76"/>
        <v>5.5468420773376749E-2</v>
      </c>
      <c r="Y33" s="93">
        <f t="shared" ca="1" si="77"/>
        <v>1.6661796369831432E-2</v>
      </c>
      <c r="Z33" s="290">
        <f t="shared" ca="1" si="58"/>
        <v>0</v>
      </c>
      <c r="AA33" s="290">
        <f t="shared" ca="1" si="59"/>
        <v>0</v>
      </c>
      <c r="AB33" s="93">
        <f t="shared" ca="1" si="60"/>
        <v>4.9637900623976383E-2</v>
      </c>
      <c r="AC33" s="291">
        <f t="shared" ca="1" si="61"/>
        <v>0</v>
      </c>
      <c r="AD33" s="93">
        <f t="shared" ca="1" si="62"/>
        <v>0</v>
      </c>
      <c r="AE33" s="93">
        <f t="shared" ca="1" si="63"/>
        <v>4.9637900623976383E-2</v>
      </c>
      <c r="AF33" s="93">
        <f t="shared" ca="1" si="64"/>
        <v>4.9637900623976383E-2</v>
      </c>
      <c r="AG33" s="292">
        <f t="shared" ca="1" si="65"/>
        <v>0.2</v>
      </c>
      <c r="AH33" s="292">
        <f t="shared" ca="1" si="66"/>
        <v>0.12</v>
      </c>
      <c r="AI33" s="292">
        <f t="shared" ca="1" si="67"/>
        <v>6.7000000000000004E-2</v>
      </c>
      <c r="AJ33" s="292">
        <f t="shared" ca="1" si="68"/>
        <v>30</v>
      </c>
      <c r="AK33" s="293" t="b">
        <f t="shared" ca="1" si="69"/>
        <v>1</v>
      </c>
      <c r="AL33" s="293" t="b">
        <f t="shared" ca="1" si="70"/>
        <v>1</v>
      </c>
      <c r="AM33" s="293" t="b">
        <f t="shared" ca="1" si="71"/>
        <v>1</v>
      </c>
      <c r="AN33" s="294" t="str">
        <f t="shared" ca="1" si="78"/>
        <v>D</v>
      </c>
      <c r="AO33" s="294" t="b">
        <f t="shared" ca="1" si="79"/>
        <v>1</v>
      </c>
      <c r="AP33" s="294" t="b">
        <f t="shared" ca="1" si="80"/>
        <v>1</v>
      </c>
      <c r="AQ33" s="307"/>
      <c r="AR33" s="308"/>
      <c r="AS33" s="309"/>
      <c r="AT33" s="310"/>
      <c r="AU33" s="36"/>
      <c r="AV33" s="36"/>
      <c r="AW33" s="36"/>
      <c r="AX33" s="36"/>
      <c r="AY33" s="36"/>
      <c r="AZ33" s="36"/>
      <c r="BA33" s="36"/>
      <c r="BB33" s="36"/>
      <c r="BC33" s="41"/>
    </row>
    <row r="34" spans="1:55" ht="18" customHeight="1" thickBot="1" x14ac:dyDescent="0.45">
      <c r="H34" s="329"/>
      <c r="L34" s="305" t="s">
        <v>72</v>
      </c>
      <c r="M34" s="306">
        <f>G48</f>
        <v>0.22164008226719484</v>
      </c>
      <c r="N34" s="88"/>
      <c r="O34" s="88">
        <v>5</v>
      </c>
      <c r="P34" s="93" t="str">
        <f t="shared" ca="1" si="54"/>
        <v>40-40</v>
      </c>
      <c r="Q34" s="93" t="str">
        <f t="shared" ca="1" si="55"/>
        <v>ПРЭМ-40</v>
      </c>
      <c r="R34" s="93">
        <f t="shared" ca="1" si="56"/>
        <v>40</v>
      </c>
      <c r="S34" s="93">
        <f t="shared" ca="1" si="57"/>
        <v>0</v>
      </c>
      <c r="T34" s="93">
        <f t="shared" ca="1" si="72"/>
        <v>1.2248303708374444</v>
      </c>
      <c r="U34" s="289">
        <f t="shared" ca="1" si="73"/>
        <v>105076.68367885458</v>
      </c>
      <c r="V34" s="289">
        <f t="shared" ca="1" si="74"/>
        <v>4.0875226338606262E-2</v>
      </c>
      <c r="W34" s="93">
        <f t="shared" ca="1" si="75"/>
        <v>0</v>
      </c>
      <c r="X34" s="93">
        <f t="shared" ca="1" si="76"/>
        <v>0</v>
      </c>
      <c r="Y34" s="93">
        <f t="shared" ca="1" si="77"/>
        <v>0</v>
      </c>
      <c r="Z34" s="290">
        <f t="shared" ca="1" si="58"/>
        <v>0</v>
      </c>
      <c r="AA34" s="290">
        <f t="shared" ca="1" si="59"/>
        <v>0</v>
      </c>
      <c r="AB34" s="93">
        <f t="shared" ca="1" si="60"/>
        <v>1.2501814537411797E-2</v>
      </c>
      <c r="AC34" s="291">
        <f t="shared" ca="1" si="61"/>
        <v>0</v>
      </c>
      <c r="AD34" s="93">
        <f t="shared" ca="1" si="62"/>
        <v>0</v>
      </c>
      <c r="AE34" s="93">
        <f t="shared" ca="1" si="63"/>
        <v>1.2501814537411797E-2</v>
      </c>
      <c r="AF34" s="93">
        <f t="shared" ca="1" si="64"/>
        <v>1.2501814537411797E-2</v>
      </c>
      <c r="AG34" s="292">
        <f t="shared" ca="1" si="65"/>
        <v>0.3</v>
      </c>
      <c r="AH34" s="292">
        <f t="shared" ca="1" si="66"/>
        <v>0.18</v>
      </c>
      <c r="AI34" s="292">
        <f t="shared" ca="1" si="67"/>
        <v>0.1</v>
      </c>
      <c r="AJ34" s="292">
        <f t="shared" ca="1" si="68"/>
        <v>45</v>
      </c>
      <c r="AK34" s="293" t="b">
        <f t="shared" ca="1" si="69"/>
        <v>0</v>
      </c>
      <c r="AL34" s="293" t="b">
        <f t="shared" ca="1" si="70"/>
        <v>1</v>
      </c>
      <c r="AM34" s="293" t="b">
        <f t="shared" ca="1" si="71"/>
        <v>1</v>
      </c>
      <c r="AN34" s="294" t="str">
        <f t="shared" ca="1" si="78"/>
        <v>C1</v>
      </c>
      <c r="AO34" s="294" t="b">
        <f t="shared" ca="1" si="79"/>
        <v>1</v>
      </c>
      <c r="AP34" s="294" t="b">
        <f t="shared" ca="1" si="80"/>
        <v>1</v>
      </c>
      <c r="AQ34" s="311"/>
      <c r="AR34" s="312"/>
      <c r="AS34" s="313"/>
      <c r="AT34" s="314"/>
    </row>
    <row r="35" spans="1:55" ht="25" customHeight="1" thickBot="1" x14ac:dyDescent="0.45">
      <c r="B35" s="800" t="s">
        <v>35</v>
      </c>
      <c r="C35" s="801"/>
      <c r="D35" s="801"/>
      <c r="E35" s="122"/>
      <c r="F35" s="122"/>
      <c r="G35" s="121"/>
      <c r="H35" s="8"/>
      <c r="L35" s="305" t="s">
        <v>73</v>
      </c>
      <c r="M35" s="315">
        <f>G60</f>
        <v>4.6626152556580045E-7</v>
      </c>
      <c r="N35" s="88"/>
      <c r="O35" s="88">
        <v>6</v>
      </c>
      <c r="P35" s="93" t="str">
        <f t="shared" ca="1" si="54"/>
        <v>---</v>
      </c>
      <c r="Q35" s="93" t="str">
        <f t="shared" ca="1" si="55"/>
        <v>---</v>
      </c>
      <c r="R35" s="93" t="str">
        <f t="shared" ca="1" si="56"/>
        <v>---</v>
      </c>
      <c r="S35" s="93" t="str">
        <f t="shared" ca="1" si="57"/>
        <v>---</v>
      </c>
      <c r="T35" s="93" t="str">
        <f t="shared" ca="1" si="72"/>
        <v>---</v>
      </c>
      <c r="U35" s="289" t="str">
        <f t="shared" ca="1" si="73"/>
        <v>---</v>
      </c>
      <c r="V35" s="289" t="str">
        <f t="shared" ca="1" si="74"/>
        <v>---</v>
      </c>
      <c r="W35" s="93" t="str">
        <f t="shared" ca="1" si="75"/>
        <v>---</v>
      </c>
      <c r="X35" s="93" t="str">
        <f t="shared" ca="1" si="76"/>
        <v>---</v>
      </c>
      <c r="Y35" s="93" t="str">
        <f t="shared" ca="1" si="77"/>
        <v>---</v>
      </c>
      <c r="Z35" s="290" t="str">
        <f t="shared" ca="1" si="58"/>
        <v>---</v>
      </c>
      <c r="AA35" s="290" t="str">
        <f t="shared" ca="1" si="59"/>
        <v>---</v>
      </c>
      <c r="AB35" s="93" t="str">
        <f t="shared" ca="1" si="60"/>
        <v>--</v>
      </c>
      <c r="AC35" s="291" t="str">
        <f t="shared" ca="1" si="61"/>
        <v>--</v>
      </c>
      <c r="AD35" s="93" t="str">
        <f t="shared" ca="1" si="62"/>
        <v>--</v>
      </c>
      <c r="AE35" s="93" t="str">
        <f t="shared" ca="1" si="63"/>
        <v>---</v>
      </c>
      <c r="AF35" s="93" t="str">
        <f t="shared" ca="1" si="64"/>
        <v>---</v>
      </c>
      <c r="AG35" s="292" t="str">
        <f t="shared" ca="1" si="65"/>
        <v>---</v>
      </c>
      <c r="AH35" s="292" t="str">
        <f t="shared" ca="1" si="66"/>
        <v>---</v>
      </c>
      <c r="AI35" s="292" t="str">
        <f t="shared" ca="1" si="67"/>
        <v>---</v>
      </c>
      <c r="AJ35" s="292" t="str">
        <f t="shared" ca="1" si="68"/>
        <v>---</v>
      </c>
      <c r="AK35" s="293" t="str">
        <f t="shared" ca="1" si="69"/>
        <v>---</v>
      </c>
      <c r="AL35" s="293" t="str">
        <f t="shared" ca="1" si="70"/>
        <v>---</v>
      </c>
      <c r="AM35" s="293" t="str">
        <f t="shared" ca="1" si="71"/>
        <v>---</v>
      </c>
      <c r="AN35" s="294" t="str">
        <f t="shared" ca="1" si="78"/>
        <v>---</v>
      </c>
      <c r="AO35" s="294" t="str">
        <f t="shared" ca="1" si="79"/>
        <v>---</v>
      </c>
      <c r="AP35" s="294" t="str">
        <f t="shared" ca="1" si="80"/>
        <v>---</v>
      </c>
      <c r="AQ35" s="91"/>
      <c r="AS35" s="316"/>
      <c r="AT35" s="317"/>
    </row>
    <row r="36" spans="1:55" ht="45" customHeight="1" thickBot="1" x14ac:dyDescent="0.45">
      <c r="B36" s="823" t="s">
        <v>106</v>
      </c>
      <c r="C36" s="824"/>
      <c r="D36" s="119" t="str">
        <f ca="1">AR3</f>
        <v>ПРЭМ-150-D-Фланец</v>
      </c>
      <c r="E36" s="120" t="str">
        <f ca="1">AR16</f>
        <v>ПРЭМ-150-D-Фланец</v>
      </c>
      <c r="G36" s="120" t="str">
        <f ca="1">AR29</f>
        <v>ПРЭМ-32-D-Cэндвич</v>
      </c>
      <c r="H36" s="56"/>
      <c r="L36" s="318" t="s">
        <v>102</v>
      </c>
      <c r="M36" s="319">
        <f>(M33/3.6)/((PI()*M32^2)/4000)</f>
        <v>1.2248303708374444</v>
      </c>
      <c r="O36" s="88">
        <v>7</v>
      </c>
      <c r="P36" s="93" t="str">
        <f t="shared" ca="1" si="54"/>
        <v>---</v>
      </c>
      <c r="Q36" s="93" t="str">
        <f t="shared" ca="1" si="55"/>
        <v>---</v>
      </c>
      <c r="R36" s="93" t="str">
        <f t="shared" ca="1" si="56"/>
        <v>---</v>
      </c>
      <c r="S36" s="93" t="str">
        <f t="shared" ca="1" si="57"/>
        <v>---</v>
      </c>
      <c r="T36" s="93" t="str">
        <f t="shared" ca="1" si="72"/>
        <v>---</v>
      </c>
      <c r="U36" s="289" t="str">
        <f t="shared" ca="1" si="73"/>
        <v>---</v>
      </c>
      <c r="V36" s="289" t="str">
        <f t="shared" ca="1" si="74"/>
        <v>---</v>
      </c>
      <c r="W36" s="93" t="str">
        <f t="shared" ca="1" si="75"/>
        <v>---</v>
      </c>
      <c r="X36" s="93" t="str">
        <f t="shared" ca="1" si="76"/>
        <v>---</v>
      </c>
      <c r="Y36" s="93" t="str">
        <f t="shared" ca="1" si="77"/>
        <v>---</v>
      </c>
      <c r="Z36" s="290" t="str">
        <f t="shared" ca="1" si="58"/>
        <v>---</v>
      </c>
      <c r="AA36" s="290" t="str">
        <f t="shared" ca="1" si="59"/>
        <v>---</v>
      </c>
      <c r="AB36" s="93" t="str">
        <f t="shared" ca="1" si="60"/>
        <v>--</v>
      </c>
      <c r="AC36" s="291" t="str">
        <f t="shared" ca="1" si="61"/>
        <v>--</v>
      </c>
      <c r="AD36" s="93" t="str">
        <f t="shared" ca="1" si="62"/>
        <v>--</v>
      </c>
      <c r="AE36" s="93" t="str">
        <f t="shared" ca="1" si="63"/>
        <v>---</v>
      </c>
      <c r="AF36" s="93" t="str">
        <f t="shared" ca="1" si="64"/>
        <v>---</v>
      </c>
      <c r="AG36" s="292" t="str">
        <f t="shared" ca="1" si="65"/>
        <v>---</v>
      </c>
      <c r="AH36" s="292" t="str">
        <f t="shared" ca="1" si="66"/>
        <v>---</v>
      </c>
      <c r="AI36" s="292" t="str">
        <f t="shared" ca="1" si="67"/>
        <v>---</v>
      </c>
      <c r="AJ36" s="292" t="str">
        <f t="shared" ca="1" si="68"/>
        <v>---</v>
      </c>
      <c r="AK36" s="293" t="str">
        <f t="shared" ca="1" si="69"/>
        <v>---</v>
      </c>
      <c r="AL36" s="293" t="str">
        <f t="shared" ca="1" si="70"/>
        <v>---</v>
      </c>
      <c r="AM36" s="293" t="str">
        <f t="shared" ca="1" si="71"/>
        <v>---</v>
      </c>
      <c r="AN36" s="294" t="str">
        <f t="shared" ca="1" si="78"/>
        <v>---</v>
      </c>
      <c r="AO36" s="294" t="str">
        <f t="shared" ca="1" si="79"/>
        <v>---</v>
      </c>
      <c r="AP36" s="294" t="str">
        <f t="shared" ca="1" si="80"/>
        <v>---</v>
      </c>
      <c r="AR36" s="320"/>
      <c r="AT36" s="9"/>
    </row>
    <row r="37" spans="1:55" ht="18" customHeight="1" x14ac:dyDescent="0.3">
      <c r="B37" s="819" t="s">
        <v>58</v>
      </c>
      <c r="C37" s="820"/>
      <c r="D37" s="27">
        <f ca="1">VLOOKUP(AT3,ParamPiterflow,4,FALSE)</f>
        <v>630</v>
      </c>
      <c r="E37" s="28">
        <f ca="1">VLOOKUP(AT16,ParamPiterflow,4,FALSE)</f>
        <v>630</v>
      </c>
      <c r="F37" s="332"/>
      <c r="G37" s="28">
        <f ca="1">VLOOKUP(AT29,ParamPiterflow,4,FALSE)</f>
        <v>30</v>
      </c>
      <c r="H37" s="8"/>
      <c r="O37" s="88">
        <v>8</v>
      </c>
      <c r="P37" s="93" t="str">
        <f t="shared" ca="1" si="54"/>
        <v>---</v>
      </c>
      <c r="Q37" s="93" t="str">
        <f t="shared" ca="1" si="55"/>
        <v>---</v>
      </c>
      <c r="R37" s="93" t="str">
        <f t="shared" ca="1" si="56"/>
        <v>---</v>
      </c>
      <c r="S37" s="93" t="str">
        <f t="shared" ca="1" si="57"/>
        <v>---</v>
      </c>
      <c r="T37" s="93" t="str">
        <f t="shared" ca="1" si="72"/>
        <v>---</v>
      </c>
      <c r="U37" s="289" t="str">
        <f t="shared" ca="1" si="73"/>
        <v>---</v>
      </c>
      <c r="V37" s="289" t="str">
        <f t="shared" ca="1" si="74"/>
        <v>---</v>
      </c>
      <c r="W37" s="93" t="str">
        <f t="shared" ca="1" si="75"/>
        <v>---</v>
      </c>
      <c r="X37" s="93" t="str">
        <f t="shared" ca="1" si="76"/>
        <v>---</v>
      </c>
      <c r="Y37" s="93" t="str">
        <f t="shared" ca="1" si="77"/>
        <v>---</v>
      </c>
      <c r="Z37" s="290" t="str">
        <f t="shared" ca="1" si="58"/>
        <v>---</v>
      </c>
      <c r="AA37" s="290" t="str">
        <f t="shared" ca="1" si="59"/>
        <v>---</v>
      </c>
      <c r="AB37" s="93" t="str">
        <f t="shared" ca="1" si="60"/>
        <v>--</v>
      </c>
      <c r="AC37" s="291" t="str">
        <f t="shared" ca="1" si="61"/>
        <v>--</v>
      </c>
      <c r="AD37" s="93" t="str">
        <f t="shared" ca="1" si="62"/>
        <v>--</v>
      </c>
      <c r="AE37" s="93" t="str">
        <f t="shared" ca="1" si="63"/>
        <v>---</v>
      </c>
      <c r="AF37" s="93" t="str">
        <f t="shared" ca="1" si="64"/>
        <v>---</v>
      </c>
      <c r="AG37" s="292" t="str">
        <f t="shared" ca="1" si="65"/>
        <v>---</v>
      </c>
      <c r="AH37" s="292" t="str">
        <f t="shared" ca="1" si="66"/>
        <v>---</v>
      </c>
      <c r="AI37" s="292" t="str">
        <f t="shared" ca="1" si="67"/>
        <v>---</v>
      </c>
      <c r="AJ37" s="292" t="str">
        <f t="shared" ca="1" si="68"/>
        <v>---</v>
      </c>
      <c r="AK37" s="293" t="str">
        <f t="shared" ca="1" si="69"/>
        <v>---</v>
      </c>
      <c r="AL37" s="293" t="str">
        <f t="shared" ca="1" si="70"/>
        <v>---</v>
      </c>
      <c r="AM37" s="293" t="str">
        <f t="shared" ca="1" si="71"/>
        <v>---</v>
      </c>
      <c r="AN37" s="294" t="str">
        <f t="shared" ca="1" si="78"/>
        <v>---</v>
      </c>
      <c r="AO37" s="294" t="str">
        <f t="shared" ca="1" si="79"/>
        <v>---</v>
      </c>
      <c r="AP37" s="294" t="str">
        <f t="shared" ca="1" si="80"/>
        <v>---</v>
      </c>
      <c r="AR37" s="320"/>
    </row>
    <row r="38" spans="1:55" ht="18" customHeight="1" x14ac:dyDescent="0.3">
      <c r="B38" s="815" t="s">
        <v>233</v>
      </c>
      <c r="C38" s="816"/>
      <c r="D38" s="29">
        <f ca="1">VLOOKUP(AT3,ParamPiterflow,3,FALSE)</f>
        <v>6.3</v>
      </c>
      <c r="E38" s="30">
        <f ca="1">VLOOKUP(AT16,ParamPiterflow,3,FALSE)</f>
        <v>6.3</v>
      </c>
      <c r="F38" s="332"/>
      <c r="G38" s="30">
        <f ca="1">VLOOKUP(AT29,ParamPiterflow,3,FALSE)</f>
        <v>0.3</v>
      </c>
      <c r="H38" s="333"/>
      <c r="O38" s="88">
        <v>9</v>
      </c>
      <c r="P38" s="93" t="str">
        <f t="shared" ca="1" si="54"/>
        <v>---</v>
      </c>
      <c r="Q38" s="93" t="str">
        <f t="shared" ca="1" si="55"/>
        <v>---</v>
      </c>
      <c r="R38" s="93" t="str">
        <f t="shared" ca="1" si="56"/>
        <v>---</v>
      </c>
      <c r="S38" s="93" t="str">
        <f t="shared" ca="1" si="57"/>
        <v>---</v>
      </c>
      <c r="T38" s="93" t="str">
        <f t="shared" ca="1" si="72"/>
        <v>---</v>
      </c>
      <c r="U38" s="289" t="str">
        <f t="shared" ca="1" si="73"/>
        <v>---</v>
      </c>
      <c r="V38" s="289" t="str">
        <f t="shared" ca="1" si="74"/>
        <v>---</v>
      </c>
      <c r="W38" s="93" t="str">
        <f t="shared" ca="1" si="75"/>
        <v>---</v>
      </c>
      <c r="X38" s="93" t="str">
        <f t="shared" ca="1" si="76"/>
        <v>---</v>
      </c>
      <c r="Y38" s="93" t="str">
        <f t="shared" ca="1" si="77"/>
        <v>---</v>
      </c>
      <c r="Z38" s="290" t="str">
        <f t="shared" ca="1" si="58"/>
        <v>---</v>
      </c>
      <c r="AA38" s="290" t="str">
        <f t="shared" ca="1" si="59"/>
        <v>---</v>
      </c>
      <c r="AB38" s="93" t="str">
        <f t="shared" ca="1" si="60"/>
        <v>--</v>
      </c>
      <c r="AC38" s="291" t="str">
        <f t="shared" ca="1" si="61"/>
        <v>--</v>
      </c>
      <c r="AD38" s="93" t="str">
        <f t="shared" ca="1" si="62"/>
        <v>--</v>
      </c>
      <c r="AE38" s="93" t="str">
        <f t="shared" ca="1" si="63"/>
        <v>---</v>
      </c>
      <c r="AF38" s="93" t="str">
        <f t="shared" ca="1" si="64"/>
        <v>---</v>
      </c>
      <c r="AG38" s="292" t="str">
        <f t="shared" ca="1" si="65"/>
        <v>---</v>
      </c>
      <c r="AH38" s="292" t="str">
        <f t="shared" ca="1" si="66"/>
        <v>---</v>
      </c>
      <c r="AI38" s="292" t="str">
        <f t="shared" ca="1" si="67"/>
        <v>---</v>
      </c>
      <c r="AJ38" s="292" t="str">
        <f t="shared" ca="1" si="68"/>
        <v>---</v>
      </c>
      <c r="AK38" s="293" t="str">
        <f t="shared" ca="1" si="69"/>
        <v>---</v>
      </c>
      <c r="AL38" s="293" t="str">
        <f t="shared" ca="1" si="70"/>
        <v>---</v>
      </c>
      <c r="AM38" s="293" t="str">
        <f t="shared" ca="1" si="71"/>
        <v>---</v>
      </c>
      <c r="AN38" s="294" t="str">
        <f t="shared" ca="1" si="78"/>
        <v>---</v>
      </c>
      <c r="AO38" s="294" t="str">
        <f t="shared" ca="1" si="79"/>
        <v>---</v>
      </c>
      <c r="AP38" s="294" t="str">
        <f t="shared" ca="1" si="80"/>
        <v>---</v>
      </c>
      <c r="AS38" s="41"/>
    </row>
    <row r="39" spans="1:55" ht="18" customHeight="1" thickBot="1" x14ac:dyDescent="0.35">
      <c r="B39" s="815" t="s">
        <v>101</v>
      </c>
      <c r="C39" s="816"/>
      <c r="D39" s="31">
        <f ca="1">VLOOKUP(AT3,ParamPiterflow,2,FALSE)</f>
        <v>4.2</v>
      </c>
      <c r="E39" s="32">
        <f ca="1">VLOOKUP(AT16,ParamPiterflow,2,FALSE)</f>
        <v>4.2</v>
      </c>
      <c r="F39" s="332"/>
      <c r="G39" s="32">
        <f ca="1">VLOOKUP(AT29,ParamPiterflow,2,FALSE)</f>
        <v>0.2</v>
      </c>
      <c r="H39" s="333"/>
      <c r="O39" s="88">
        <v>10</v>
      </c>
      <c r="P39" s="93" t="str">
        <f t="shared" ca="1" si="54"/>
        <v>---</v>
      </c>
      <c r="Q39" s="93" t="str">
        <f t="shared" ca="1" si="55"/>
        <v>---</v>
      </c>
      <c r="R39" s="93" t="str">
        <f t="shared" ca="1" si="56"/>
        <v>---</v>
      </c>
      <c r="S39" s="93" t="str">
        <f t="shared" ca="1" si="57"/>
        <v>---</v>
      </c>
      <c r="T39" s="93" t="str">
        <f t="shared" ca="1" si="72"/>
        <v>---</v>
      </c>
      <c r="U39" s="289" t="str">
        <f t="shared" ca="1" si="73"/>
        <v>---</v>
      </c>
      <c r="V39" s="289" t="str">
        <f t="shared" ca="1" si="74"/>
        <v>---</v>
      </c>
      <c r="W39" s="93" t="str">
        <f t="shared" ca="1" si="75"/>
        <v>---</v>
      </c>
      <c r="X39" s="93" t="str">
        <f t="shared" ca="1" si="76"/>
        <v>---</v>
      </c>
      <c r="Y39" s="93" t="str">
        <f t="shared" ca="1" si="77"/>
        <v>---</v>
      </c>
      <c r="Z39" s="290" t="str">
        <f t="shared" ca="1" si="58"/>
        <v>---</v>
      </c>
      <c r="AA39" s="290" t="str">
        <f t="shared" ca="1" si="59"/>
        <v>---</v>
      </c>
      <c r="AB39" s="93" t="str">
        <f t="shared" ca="1" si="60"/>
        <v>--</v>
      </c>
      <c r="AC39" s="291" t="str">
        <f t="shared" ca="1" si="61"/>
        <v>--</v>
      </c>
      <c r="AD39" s="93" t="str">
        <f t="shared" ca="1" si="62"/>
        <v>--</v>
      </c>
      <c r="AE39" s="93" t="str">
        <f t="shared" ca="1" si="63"/>
        <v>---</v>
      </c>
      <c r="AF39" s="93" t="str">
        <f t="shared" ca="1" si="64"/>
        <v>---</v>
      </c>
      <c r="AG39" s="292" t="str">
        <f t="shared" ca="1" si="65"/>
        <v>---</v>
      </c>
      <c r="AH39" s="292" t="str">
        <f t="shared" ca="1" si="66"/>
        <v>---</v>
      </c>
      <c r="AI39" s="292" t="str">
        <f t="shared" ca="1" si="67"/>
        <v>---</v>
      </c>
      <c r="AJ39" s="292" t="str">
        <f t="shared" ca="1" si="68"/>
        <v>---</v>
      </c>
      <c r="AK39" s="293" t="str">
        <f t="shared" ca="1" si="69"/>
        <v>---</v>
      </c>
      <c r="AL39" s="293" t="str">
        <f t="shared" ca="1" si="70"/>
        <v>---</v>
      </c>
      <c r="AM39" s="293" t="str">
        <f t="shared" ca="1" si="71"/>
        <v>---</v>
      </c>
      <c r="AN39" s="294" t="str">
        <f t="shared" ca="1" si="78"/>
        <v>---</v>
      </c>
      <c r="AO39" s="294" t="str">
        <f t="shared" ca="1" si="79"/>
        <v>---</v>
      </c>
      <c r="AP39" s="294" t="str">
        <f t="shared" ca="1" si="80"/>
        <v>---</v>
      </c>
      <c r="AS39" s="41"/>
    </row>
    <row r="40" spans="1:55" ht="18" customHeight="1" thickBot="1" x14ac:dyDescent="0.35">
      <c r="H40" s="333"/>
      <c r="L40" s="360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M40" s="334"/>
      <c r="AP40" s="8"/>
    </row>
    <row r="41" spans="1:55" ht="25" customHeight="1" thickBot="1" x14ac:dyDescent="0.45">
      <c r="B41" s="800" t="s">
        <v>107</v>
      </c>
      <c r="C41" s="801"/>
      <c r="D41" s="801"/>
      <c r="E41" s="122"/>
      <c r="F41" s="122"/>
      <c r="G41" s="121"/>
      <c r="H41" s="333"/>
      <c r="L41" s="334"/>
      <c r="M41" s="334"/>
      <c r="N41" s="334"/>
      <c r="O41" s="41"/>
      <c r="P41" s="41"/>
      <c r="Q41" s="41"/>
      <c r="R41" s="313"/>
      <c r="S41" s="314"/>
      <c r="T41" s="41"/>
      <c r="U41" s="314"/>
      <c r="V41" s="314"/>
      <c r="W41" s="41"/>
      <c r="X41" s="41"/>
      <c r="Y41" s="41"/>
      <c r="Z41" s="41"/>
      <c r="AA41" s="41"/>
      <c r="AB41" s="41"/>
      <c r="AC41" s="41"/>
      <c r="AD41" s="41"/>
    </row>
    <row r="42" spans="1:55" ht="18" customHeight="1" x14ac:dyDescent="0.4">
      <c r="B42" s="395" t="s">
        <v>28</v>
      </c>
      <c r="C42" s="396"/>
      <c r="D42" s="113">
        <f>1000*$D$29/VLOOKUP(D30,TemperGrafik,3,FALSE)</f>
        <v>111.11111111111111</v>
      </c>
      <c r="E42" s="113">
        <f>D42</f>
        <v>111.11111111111111</v>
      </c>
      <c r="F42" s="71"/>
      <c r="G42" s="113">
        <f>1000*$G$29/(G45-5)</f>
        <v>5.4545454545454541</v>
      </c>
      <c r="H42" s="333"/>
      <c r="L42" s="334"/>
      <c r="M42" s="334"/>
      <c r="N42" s="334"/>
      <c r="O42" s="41"/>
      <c r="P42" s="41"/>
      <c r="Q42" s="41"/>
      <c r="R42" s="316"/>
      <c r="S42" s="338"/>
      <c r="T42" s="41"/>
      <c r="U42" s="316"/>
      <c r="V42" s="338"/>
      <c r="W42" s="41"/>
      <c r="X42" s="41"/>
      <c r="Y42" s="41"/>
      <c r="Z42" s="41"/>
      <c r="AA42" s="41"/>
      <c r="AB42" s="41"/>
      <c r="AC42" s="41"/>
      <c r="AD42" s="41"/>
    </row>
    <row r="43" spans="1:55" ht="18" customHeight="1" x14ac:dyDescent="0.4">
      <c r="B43" s="336" t="s">
        <v>27</v>
      </c>
      <c r="C43" s="337"/>
      <c r="D43" s="14">
        <f>D42*0.5</f>
        <v>55.555555555555557</v>
      </c>
      <c r="E43" s="14">
        <f>D43</f>
        <v>55.555555555555557</v>
      </c>
      <c r="F43" s="71"/>
      <c r="G43" s="14">
        <f>G42*0.04</f>
        <v>0.21818181818181817</v>
      </c>
      <c r="H43" s="333"/>
      <c r="L43" s="334"/>
      <c r="M43" s="334"/>
      <c r="N43" s="334"/>
      <c r="O43" s="41"/>
      <c r="P43" s="41"/>
      <c r="Q43" s="41"/>
      <c r="R43" s="41"/>
      <c r="S43" s="41"/>
      <c r="T43" s="41"/>
      <c r="U43" s="10"/>
      <c r="V43" s="10"/>
      <c r="W43" s="41"/>
      <c r="X43" s="41"/>
      <c r="Y43" s="41"/>
      <c r="Z43" s="41"/>
      <c r="AA43" s="41"/>
      <c r="AB43" s="41"/>
      <c r="AC43" s="41"/>
      <c r="AD43" s="41"/>
    </row>
    <row r="44" spans="1:55" ht="18" customHeight="1" x14ac:dyDescent="0.3">
      <c r="D44" s="11"/>
      <c r="E44" s="11"/>
      <c r="H44" s="333"/>
      <c r="L44" s="334"/>
      <c r="M44" s="334"/>
      <c r="N44" s="334"/>
      <c r="O44" s="41"/>
      <c r="P44" s="41"/>
      <c r="Q44" s="41"/>
      <c r="R44" s="10"/>
      <c r="S44" s="10"/>
      <c r="T44" s="41"/>
      <c r="U44" s="10"/>
      <c r="V44" s="10"/>
      <c r="W44" s="41"/>
      <c r="X44" s="41"/>
      <c r="Y44" s="41"/>
      <c r="Z44" s="41"/>
      <c r="AA44" s="41"/>
      <c r="AB44" s="41"/>
      <c r="AC44" s="41"/>
      <c r="AD44" s="41"/>
    </row>
    <row r="45" spans="1:55" ht="18" customHeight="1" x14ac:dyDescent="0.4">
      <c r="B45" s="336" t="s">
        <v>29</v>
      </c>
      <c r="C45" s="337"/>
      <c r="D45" s="75">
        <f>VLOOKUP(D30,TemperGrafik,2,FALSE)</f>
        <v>115</v>
      </c>
      <c r="E45" s="34">
        <f>VLOOKUP(D30,TemperGrafik,4,FALSE)</f>
        <v>70</v>
      </c>
      <c r="F45" s="339"/>
      <c r="G45" s="34">
        <f>G30</f>
        <v>60</v>
      </c>
      <c r="H45" s="56"/>
      <c r="L45" s="334"/>
      <c r="M45" s="334"/>
      <c r="N45" s="334"/>
      <c r="O45" s="41"/>
      <c r="P45" s="41"/>
      <c r="Q45" s="41"/>
      <c r="R45" s="41"/>
      <c r="S45" s="41"/>
      <c r="T45" s="41"/>
      <c r="U45" s="10"/>
      <c r="V45" s="10"/>
      <c r="W45" s="41"/>
      <c r="X45" s="41"/>
      <c r="Y45" s="41"/>
      <c r="Z45" s="41"/>
      <c r="AA45" s="41"/>
      <c r="AB45" s="41"/>
      <c r="AC45" s="41"/>
      <c r="AD45" s="41"/>
    </row>
    <row r="46" spans="1:55" ht="18" customHeight="1" x14ac:dyDescent="0.4">
      <c r="B46" s="340" t="s">
        <v>57</v>
      </c>
      <c r="C46" s="341"/>
      <c r="D46" s="14">
        <f>($D$45*0.01)^5*(-0.0005625*$D$33-1.3864)+($D$45*0.01)^4*(0.054517*$D$33+7.325)+($D$45*0.01)^3*(-0.27408*$D$33-15.474)+($D$45*0.01)^2*(0.52327*$D$33-5.0668)+$D$45*0.01*(-0.42067*$D$33-38.224)+0.16333*$D$33+1011.185</f>
        <v>947.35819530869287</v>
      </c>
      <c r="E46" s="14">
        <f>($E$45*0.01)^5*(-0.0005625*$E$33-1.3864)+($E$45*0.01)^4*(0.054517*$E$33+7.325)+($E$45*0.01)^3*(-0.27408*$E$33-15.474)+($E$45*0.01)^2*(0.52327*$E$33-5.0668)+$E$45*0.01*(-0.42067*$E$33-38.224)+0.16333*$E$33+1011.185</f>
        <v>978.384850513625</v>
      </c>
      <c r="G46" s="14">
        <f>($G$45*0.01)^5*(-0.0005625*$G$33-1.3864)+($G$45*0.01)^4*(0.054517*$G$33+7.325)+($G$45*0.01)^3*(-0.27408*$G$33-15.474)+($G$45*0.01)^2*(0.52327*$G$33-5.0668)+$G$45*0.01*(-0.42067*$G$33-38.224)+0.16333*$G$33+1011.185</f>
        <v>984.39693736799995</v>
      </c>
      <c r="H46" s="333"/>
      <c r="L46" s="334"/>
      <c r="M46" s="334"/>
      <c r="N46" s="334"/>
      <c r="O46" s="41"/>
      <c r="P46" s="41"/>
      <c r="Q46" s="41"/>
      <c r="R46" s="10"/>
      <c r="S46" s="10"/>
      <c r="T46" s="41"/>
      <c r="U46" s="10"/>
      <c r="V46" s="10"/>
      <c r="W46" s="41"/>
      <c r="X46" s="41"/>
      <c r="Y46" s="41"/>
      <c r="Z46" s="41"/>
      <c r="AA46" s="41"/>
      <c r="AB46" s="41"/>
      <c r="AC46" s="41"/>
      <c r="AD46" s="41"/>
    </row>
    <row r="47" spans="1:55" ht="18" customHeight="1" x14ac:dyDescent="0.4">
      <c r="A47" s="342"/>
      <c r="B47" s="340" t="s">
        <v>80</v>
      </c>
      <c r="C47" s="341"/>
      <c r="D47" s="14">
        <f>(D42)*1000/$D$46</f>
        <v>117.2852165752427</v>
      </c>
      <c r="E47" s="14">
        <f>(E42)*1000/$E$46</f>
        <v>113.5658540223521</v>
      </c>
      <c r="F47" s="343"/>
      <c r="G47" s="14">
        <f>G42*1000/$G$46</f>
        <v>5.5410020566798712</v>
      </c>
      <c r="H47" s="333"/>
      <c r="L47" s="334"/>
      <c r="M47" s="334"/>
      <c r="N47" s="334"/>
      <c r="O47" s="41"/>
      <c r="P47" s="41"/>
      <c r="Q47" s="41"/>
      <c r="R47" s="10"/>
      <c r="S47" s="10"/>
      <c r="T47" s="41"/>
      <c r="U47" s="10"/>
      <c r="V47" s="10"/>
      <c r="W47" s="41"/>
      <c r="X47" s="41"/>
      <c r="Y47" s="41"/>
      <c r="Z47" s="41"/>
      <c r="AA47" s="41"/>
      <c r="AB47" s="41"/>
      <c r="AC47" s="41"/>
      <c r="AD47" s="41"/>
    </row>
    <row r="48" spans="1:55" ht="18" customHeight="1" x14ac:dyDescent="0.4">
      <c r="A48" s="342"/>
      <c r="B48" s="340" t="s">
        <v>79</v>
      </c>
      <c r="C48" s="341"/>
      <c r="D48" s="14">
        <f>(D43)*1000/$D$46</f>
        <v>58.64260828762135</v>
      </c>
      <c r="E48" s="14">
        <f>(E43)*1000/$E$46</f>
        <v>56.782927011176049</v>
      </c>
      <c r="G48" s="14">
        <f>G43*1000/$G$46</f>
        <v>0.22164008226719484</v>
      </c>
      <c r="H48" s="333"/>
      <c r="L48" s="334"/>
      <c r="M48" s="334"/>
      <c r="N48" s="334"/>
      <c r="O48" s="41"/>
      <c r="P48" s="41"/>
      <c r="Q48" s="41"/>
      <c r="R48" s="10"/>
      <c r="S48" s="10"/>
      <c r="T48" s="41"/>
      <c r="U48" s="10"/>
      <c r="V48" s="10"/>
      <c r="W48" s="41"/>
      <c r="X48" s="41"/>
      <c r="Y48" s="41"/>
      <c r="Z48" s="41"/>
      <c r="AA48" s="41"/>
      <c r="AB48" s="41"/>
      <c r="AC48" s="41"/>
      <c r="AD48" s="41"/>
    </row>
    <row r="49" spans="1:55" ht="25" customHeight="1" x14ac:dyDescent="0.4">
      <c r="A49" s="342"/>
      <c r="D49" s="24" t="str">
        <f>IF(D50&gt;=3,"Большая скорость потока!","")</f>
        <v/>
      </c>
      <c r="E49" s="24" t="str">
        <f>IF(E50&gt;=3,"Большая скорость потока!","")</f>
        <v/>
      </c>
      <c r="F49" s="24"/>
      <c r="G49" s="24" t="str">
        <f>IF(G50&gt;=3,"Большая скорость потока!","")</f>
        <v/>
      </c>
      <c r="H49" s="333"/>
      <c r="L49" s="334"/>
      <c r="M49" s="334"/>
      <c r="N49" s="334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55" ht="18" customHeight="1" x14ac:dyDescent="0.3">
      <c r="A50" s="344"/>
      <c r="B50" s="340" t="s">
        <v>24</v>
      </c>
      <c r="C50" s="341"/>
      <c r="D50" s="61">
        <f>M10</f>
        <v>0.46090177702600921</v>
      </c>
      <c r="E50" s="26">
        <f>M23</f>
        <v>0.44628560578049237</v>
      </c>
      <c r="G50" s="26">
        <f>M36</f>
        <v>1.2248303708374444</v>
      </c>
      <c r="H50" s="333"/>
      <c r="L50" s="334"/>
      <c r="M50" s="334"/>
      <c r="N50" s="334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pans="1:55" ht="18" customHeight="1" x14ac:dyDescent="0.4">
      <c r="A51" s="344"/>
      <c r="B51" s="340" t="s">
        <v>25</v>
      </c>
      <c r="C51" s="341"/>
      <c r="D51" s="12">
        <f ca="1">AR5</f>
        <v>1.8436071081040368</v>
      </c>
      <c r="E51" s="12">
        <f ca="1">AR18</f>
        <v>1.7851424231219695</v>
      </c>
      <c r="G51" s="12">
        <f ca="1">AR31</f>
        <v>1.9137974544335066</v>
      </c>
      <c r="H51" s="329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55" ht="18" customHeight="1" x14ac:dyDescent="0.4">
      <c r="A52" s="344"/>
      <c r="B52" s="340" t="s">
        <v>26</v>
      </c>
      <c r="C52" s="341"/>
      <c r="D52" s="12">
        <f ca="1">AR6</f>
        <v>0.1776186549120079</v>
      </c>
      <c r="E52" s="12">
        <f ca="1">AR19</f>
        <v>0.16653195134152587</v>
      </c>
      <c r="G52" s="12">
        <f ca="1">AR32</f>
        <v>4.9637900623976383E-2</v>
      </c>
      <c r="H52" s="329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1:55" ht="18" customHeight="1" x14ac:dyDescent="0.4">
      <c r="A53" s="347"/>
      <c r="B53" s="347"/>
      <c r="H53" s="329"/>
      <c r="L53" s="349"/>
      <c r="M53" s="349"/>
      <c r="N53" s="349"/>
      <c r="O53" s="258"/>
      <c r="P53" s="258"/>
      <c r="Q53" s="349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55" ht="18" customHeight="1" x14ac:dyDescent="0.4">
      <c r="A54" s="344"/>
      <c r="B54" s="344"/>
      <c r="D54" s="347"/>
      <c r="E54" s="347"/>
      <c r="F54" s="347"/>
      <c r="G54" s="347"/>
      <c r="H54" s="329"/>
      <c r="L54" s="18"/>
      <c r="M54" s="18"/>
      <c r="N54" s="18"/>
      <c r="O54" s="18"/>
      <c r="P54" s="18"/>
      <c r="Q54" s="18"/>
      <c r="R54" s="349"/>
      <c r="S54" s="349"/>
      <c r="T54" s="258"/>
      <c r="U54" s="258"/>
      <c r="V54" s="258"/>
      <c r="W54" s="258"/>
      <c r="X54" s="349"/>
      <c r="Y54" s="349"/>
      <c r="Z54" s="258"/>
      <c r="AA54" s="258"/>
      <c r="AB54" s="258"/>
      <c r="AC54" s="258"/>
      <c r="AD54" s="349"/>
    </row>
    <row r="55" spans="1:55" ht="18" hidden="1" customHeight="1" x14ac:dyDescent="0.4">
      <c r="A55" s="344"/>
      <c r="B55" s="344"/>
      <c r="H55" s="329"/>
      <c r="L55" s="37"/>
      <c r="M55" s="37"/>
      <c r="N55" s="37"/>
      <c r="O55" s="37"/>
      <c r="P55" s="37"/>
      <c r="Q55" s="3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55" ht="18" hidden="1" customHeight="1" x14ac:dyDescent="0.3">
      <c r="A56" s="344"/>
      <c r="B56" s="344"/>
      <c r="H56" s="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55" ht="18" hidden="1" customHeight="1" x14ac:dyDescent="0.3">
      <c r="H57" s="8"/>
      <c r="J57" s="352"/>
      <c r="L57" s="7"/>
      <c r="M57" s="7"/>
      <c r="N57" s="7"/>
      <c r="O57" s="7"/>
      <c r="P57" s="7"/>
      <c r="Q57" s="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Q57" s="7"/>
    </row>
    <row r="58" spans="1:55" ht="18" hidden="1" customHeight="1" x14ac:dyDescent="0.3">
      <c r="H58" s="8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7"/>
      <c r="AS58" s="7"/>
      <c r="AT58" s="105"/>
      <c r="AU58" s="7"/>
      <c r="AV58" s="7"/>
      <c r="AW58" s="7"/>
      <c r="AX58" s="7"/>
      <c r="AY58" s="7"/>
      <c r="AZ58" s="7"/>
      <c r="BA58" s="7"/>
      <c r="BB58" s="7"/>
      <c r="BC58" s="7"/>
    </row>
    <row r="59" spans="1:55" ht="18" hidden="1" customHeight="1" x14ac:dyDescent="0.3">
      <c r="H59" s="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39"/>
      <c r="AS59" s="39"/>
      <c r="AT59" s="104"/>
      <c r="AU59" s="39"/>
      <c r="AV59" s="39"/>
      <c r="AW59" s="39"/>
      <c r="AX59" s="39"/>
      <c r="AY59" s="39"/>
      <c r="AZ59" s="39"/>
      <c r="BA59" s="39"/>
      <c r="BB59" s="39"/>
      <c r="BC59" s="39"/>
    </row>
    <row r="60" spans="1:55" ht="18" hidden="1" customHeight="1" x14ac:dyDescent="0.3">
      <c r="C60" s="6" t="s">
        <v>19</v>
      </c>
      <c r="D60" s="5">
        <f>0.00000178/(1+0.0337*$D$45+0.000221*$D$45^2)</f>
        <v>2.2825707132071719E-7</v>
      </c>
      <c r="E60" s="5">
        <f>0.00000178/(1+0.0337*$E$45+0.000221*$E$45^2)</f>
        <v>4.0072941759157111E-7</v>
      </c>
      <c r="G60" s="5">
        <f>0.00000178/(1+0.0337*$G$45+0.000221*$G$45^2)</f>
        <v>4.6626152556580045E-7</v>
      </c>
      <c r="H60" s="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06"/>
      <c r="AU60" s="18"/>
      <c r="AV60" s="18"/>
      <c r="AW60" s="18"/>
      <c r="AX60" s="18"/>
      <c r="AY60" s="18"/>
      <c r="AZ60" s="18"/>
      <c r="BA60" s="18"/>
      <c r="BB60" s="18"/>
      <c r="BC60" s="18"/>
    </row>
    <row r="61" spans="1:55" ht="18" hidden="1" customHeight="1" x14ac:dyDescent="0.3">
      <c r="E61" s="343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8"/>
      <c r="AS61" s="18"/>
      <c r="AT61" s="106"/>
      <c r="AU61" s="18"/>
      <c r="AV61" s="18"/>
      <c r="AW61" s="18"/>
      <c r="AX61" s="18"/>
      <c r="AY61" s="18"/>
      <c r="AZ61" s="18"/>
      <c r="BA61" s="18"/>
      <c r="BB61" s="18"/>
      <c r="BC61" s="18"/>
    </row>
    <row r="62" spans="1:55" ht="18" hidden="1" customHeight="1" x14ac:dyDescent="0.3">
      <c r="D62" s="354" t="str">
        <f>"Тр1 DN"&amp;D32</f>
        <v>Тр1 DN300</v>
      </c>
      <c r="E62" s="354" t="str">
        <f>"Тр2 DN"&amp;E32</f>
        <v>Тр2 DN300</v>
      </c>
      <c r="F62" s="332"/>
      <c r="G62" s="354" t="str">
        <f>"Тр3 DN"&amp;G32</f>
        <v>Тр3 DN40</v>
      </c>
      <c r="H62" s="352"/>
      <c r="I62" s="352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21"/>
      <c r="AS62" s="21"/>
      <c r="AT62" s="107"/>
      <c r="AU62" s="21"/>
      <c r="AV62" s="21"/>
      <c r="AW62" s="21"/>
      <c r="AX62" s="21"/>
      <c r="AY62" s="21"/>
      <c r="AZ62" s="21"/>
      <c r="BA62" s="21"/>
      <c r="BB62" s="21"/>
      <c r="BC62" s="21"/>
    </row>
    <row r="63" spans="1:55" ht="18" hidden="1" customHeight="1" x14ac:dyDescent="0.3"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18"/>
      <c r="AS63" s="18"/>
      <c r="AT63" s="106"/>
      <c r="AU63" s="18"/>
      <c r="AV63" s="18"/>
      <c r="AW63" s="18"/>
      <c r="AX63" s="18"/>
      <c r="AY63" s="18"/>
      <c r="AZ63" s="18"/>
      <c r="BA63" s="18"/>
      <c r="BB63" s="18"/>
      <c r="BC63" s="18"/>
    </row>
    <row r="64" spans="1:55" ht="18" hidden="1" customHeight="1" x14ac:dyDescent="0.3">
      <c r="C64" s="8"/>
      <c r="D64" s="355"/>
      <c r="E64" s="8"/>
      <c r="F64" s="8"/>
      <c r="G64" s="8"/>
      <c r="H64" s="8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18"/>
      <c r="AR64" s="22"/>
      <c r="AS64" s="22"/>
      <c r="AT64" s="108"/>
      <c r="AU64" s="22"/>
      <c r="AV64" s="22"/>
      <c r="AW64" s="22"/>
      <c r="AX64" s="22"/>
      <c r="AY64" s="22"/>
      <c r="AZ64" s="22"/>
      <c r="BA64" s="22"/>
      <c r="BB64" s="22"/>
      <c r="BC64" s="22"/>
    </row>
    <row r="65" spans="3:56" ht="18" hidden="1" customHeight="1" x14ac:dyDescent="0.3">
      <c r="C65" s="8"/>
      <c r="D65" s="355"/>
      <c r="E65" s="8"/>
      <c r="F65" s="8"/>
      <c r="G65" s="8"/>
      <c r="H65" s="8"/>
      <c r="AG65" s="258"/>
      <c r="AH65" s="258"/>
      <c r="AI65" s="258"/>
      <c r="AJ65" s="258"/>
      <c r="AK65" s="258"/>
      <c r="AL65" s="258"/>
      <c r="AM65" s="258"/>
      <c r="AN65" s="41"/>
      <c r="AO65" s="41"/>
      <c r="AP65" s="41"/>
      <c r="AQ65" s="41"/>
      <c r="AR65" s="18"/>
      <c r="AS65" s="18"/>
      <c r="AT65" s="106"/>
      <c r="AU65" s="18"/>
      <c r="AV65" s="18"/>
      <c r="AW65" s="18"/>
      <c r="AX65" s="18"/>
      <c r="AY65" s="18"/>
      <c r="AZ65" s="18"/>
      <c r="BA65" s="18"/>
      <c r="BB65" s="18"/>
      <c r="BC65" s="41"/>
      <c r="BD65" s="8"/>
    </row>
    <row r="66" spans="3:56" hidden="1" x14ac:dyDescent="0.3">
      <c r="D66" s="87" t="s">
        <v>140</v>
      </c>
      <c r="E66" s="87" t="s">
        <v>152</v>
      </c>
      <c r="G66" s="87" t="s">
        <v>152</v>
      </c>
      <c r="AG66" s="258"/>
      <c r="AH66" s="258"/>
      <c r="AI66" s="258"/>
      <c r="AJ66" s="258"/>
      <c r="AK66" s="258"/>
      <c r="AL66" s="258"/>
      <c r="AM66" s="258"/>
      <c r="AN66" s="41"/>
      <c r="AO66" s="41"/>
      <c r="AP66" s="41"/>
      <c r="AQ66" s="41"/>
      <c r="AR66" s="41"/>
      <c r="AS66" s="41"/>
      <c r="AT66" s="259"/>
      <c r="AU66" s="41"/>
      <c r="AV66" s="41"/>
      <c r="AW66" s="41"/>
      <c r="AX66" s="41"/>
      <c r="AY66" s="41"/>
      <c r="AZ66" s="41"/>
      <c r="BA66" s="41"/>
      <c r="BB66" s="41"/>
      <c r="BC66" s="41"/>
      <c r="BD66" s="8"/>
    </row>
    <row r="67" spans="3:56" hidden="1" x14ac:dyDescent="0.3">
      <c r="C67" s="357" t="s">
        <v>146</v>
      </c>
      <c r="D67" s="358">
        <f>D45+273.15</f>
        <v>388.15</v>
      </c>
      <c r="E67" s="358">
        <f>E45+273.15</f>
        <v>343.15</v>
      </c>
      <c r="G67" s="358">
        <f>G45+273.15</f>
        <v>333.15</v>
      </c>
      <c r="AG67" s="360"/>
      <c r="AH67" s="360"/>
      <c r="AI67" s="360"/>
      <c r="AJ67" s="360"/>
      <c r="AK67" s="360"/>
      <c r="AL67" s="360"/>
      <c r="AM67" s="360"/>
      <c r="AN67" s="41"/>
      <c r="AO67" s="41"/>
      <c r="AP67" s="41"/>
      <c r="AQ67" s="41"/>
      <c r="AR67" s="41"/>
      <c r="AS67" s="41"/>
      <c r="AT67" s="259"/>
      <c r="AU67" s="41"/>
      <c r="AV67" s="41"/>
      <c r="AW67" s="41"/>
      <c r="AX67" s="41"/>
      <c r="AY67" s="41"/>
      <c r="AZ67" s="41"/>
      <c r="BA67" s="41"/>
      <c r="BB67" s="41"/>
      <c r="BC67" s="41"/>
      <c r="BD67" s="8"/>
    </row>
    <row r="68" spans="3:56" hidden="1" x14ac:dyDescent="0.3">
      <c r="C68" s="357" t="s">
        <v>147</v>
      </c>
      <c r="D68" s="357">
        <f>D33*0.0980665</f>
        <v>0.68646549999999995</v>
      </c>
      <c r="E68" s="357">
        <f>E33*0.0980665</f>
        <v>0.4903325</v>
      </c>
      <c r="G68" s="357">
        <f>G33*0.0980665</f>
        <v>0.98066500000000001</v>
      </c>
      <c r="AG68" s="360"/>
      <c r="AH68" s="360"/>
      <c r="AI68" s="360"/>
      <c r="AJ68" s="360"/>
      <c r="AK68" s="360"/>
      <c r="AL68" s="360"/>
      <c r="AM68" s="360"/>
      <c r="AN68" s="41"/>
      <c r="AO68" s="41"/>
      <c r="AP68" s="41"/>
      <c r="AQ68" s="41"/>
      <c r="AR68" s="41"/>
      <c r="AS68" s="41"/>
      <c r="AT68" s="259"/>
      <c r="AU68" s="41"/>
      <c r="AV68" s="41"/>
      <c r="AW68" s="41"/>
      <c r="AX68" s="41"/>
      <c r="AY68" s="41"/>
      <c r="AZ68" s="41"/>
      <c r="BA68" s="41"/>
      <c r="BB68" s="41"/>
      <c r="BC68" s="41"/>
      <c r="BD68" s="8"/>
    </row>
    <row r="69" spans="3:56" hidden="1" x14ac:dyDescent="0.3">
      <c r="C69" s="361" t="s">
        <v>148</v>
      </c>
      <c r="D69" s="357">
        <f>1386/D67</f>
        <v>3.5707844905320112</v>
      </c>
      <c r="E69" s="357">
        <f>1386/E67</f>
        <v>4.0390499781436695</v>
      </c>
      <c r="G69" s="357">
        <f>1386/G67</f>
        <v>4.1602881584871678</v>
      </c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259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3:56" ht="15.45" hidden="1" x14ac:dyDescent="0.4">
      <c r="C70" s="361" t="s">
        <v>149</v>
      </c>
      <c r="D70" s="357">
        <f>D68/16.53</f>
        <v>4.1528463399879E-2</v>
      </c>
      <c r="E70" s="357">
        <f>E68/16.53</f>
        <v>2.9663188142770719E-2</v>
      </c>
      <c r="G70" s="357">
        <f>G68/16.53</f>
        <v>5.9326376285541438E-2</v>
      </c>
      <c r="AG70" s="334"/>
      <c r="AH70" s="334"/>
      <c r="AI70" s="334"/>
      <c r="AJ70" s="334"/>
      <c r="AK70" s="334"/>
      <c r="AL70" s="334"/>
      <c r="AM70" s="334"/>
      <c r="AN70" s="41"/>
      <c r="AO70" s="41"/>
      <c r="AP70" s="41"/>
      <c r="AQ70" s="369"/>
      <c r="AR70" s="41"/>
      <c r="AS70" s="41"/>
      <c r="AT70" s="259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3:56" ht="15.45" hidden="1" x14ac:dyDescent="0.4">
      <c r="C71" s="366" t="s">
        <v>150</v>
      </c>
      <c r="D71" s="366">
        <f>D70*H114*F114*D67/D68</f>
        <v>1.0555917202922263</v>
      </c>
      <c r="E71" s="366">
        <f>E70*I114*F114*E67/E68</f>
        <v>1.0225467089744245</v>
      </c>
      <c r="G71" s="367">
        <f>G70*J114*F114*G67/G68</f>
        <v>1.016680052474668</v>
      </c>
      <c r="AG71" s="334"/>
      <c r="AH71" s="334"/>
      <c r="AI71" s="334"/>
      <c r="AJ71" s="334"/>
      <c r="AK71" s="334"/>
      <c r="AL71" s="334"/>
      <c r="AM71" s="334"/>
      <c r="AN71" s="41"/>
      <c r="AO71" s="41"/>
      <c r="AP71" s="41"/>
      <c r="AQ71" s="335"/>
      <c r="AR71" s="369"/>
      <c r="AS71" s="369"/>
      <c r="AT71" s="304"/>
      <c r="AU71" s="369"/>
      <c r="AV71" s="41"/>
      <c r="AW71" s="41"/>
      <c r="AX71" s="41"/>
      <c r="AY71" s="41"/>
      <c r="AZ71" s="41"/>
      <c r="BA71" s="41"/>
      <c r="BB71" s="41"/>
      <c r="BC71" s="41"/>
    </row>
    <row r="72" spans="3:56" ht="15.45" hidden="1" x14ac:dyDescent="0.4">
      <c r="C72" s="88"/>
      <c r="D72" s="368">
        <f>1/D71*1000</f>
        <v>947.33596406304093</v>
      </c>
      <c r="E72" s="368">
        <f>1/E71*1000</f>
        <v>977.95043612527195</v>
      </c>
      <c r="G72" s="368">
        <f>1/G71*1000</f>
        <v>983.59360702113941</v>
      </c>
      <c r="AG72" s="334"/>
      <c r="AH72" s="334"/>
      <c r="AI72" s="334"/>
      <c r="AJ72" s="334"/>
      <c r="AK72" s="334"/>
      <c r="AL72" s="334"/>
      <c r="AM72" s="334"/>
      <c r="AN72" s="41"/>
      <c r="AO72" s="41"/>
      <c r="AP72" s="41"/>
      <c r="AQ72" s="313"/>
      <c r="AR72" s="335"/>
      <c r="AS72" s="41"/>
      <c r="AT72" s="310"/>
      <c r="AU72" s="335"/>
      <c r="AV72" s="41"/>
      <c r="AW72" s="41"/>
      <c r="AX72" s="41"/>
      <c r="AY72" s="41"/>
      <c r="AZ72" s="41"/>
      <c r="BA72" s="41"/>
      <c r="BB72" s="41"/>
      <c r="BC72" s="41"/>
    </row>
    <row r="73" spans="3:56" ht="15.45" hidden="1" x14ac:dyDescent="0.35">
      <c r="AG73" s="334"/>
      <c r="AH73" s="334"/>
      <c r="AI73" s="334"/>
      <c r="AJ73" s="334"/>
      <c r="AK73" s="334"/>
      <c r="AL73" s="334"/>
      <c r="AM73" s="334"/>
      <c r="AN73" s="41"/>
      <c r="AO73" s="41"/>
      <c r="AP73" s="41"/>
      <c r="AQ73" s="316"/>
      <c r="AR73" s="314"/>
      <c r="AS73" s="41"/>
      <c r="AT73" s="314"/>
      <c r="AU73" s="314"/>
      <c r="AV73" s="41"/>
      <c r="AW73" s="41"/>
      <c r="AX73" s="41"/>
      <c r="AY73" s="41"/>
      <c r="AZ73" s="41"/>
      <c r="BA73" s="41"/>
      <c r="BB73" s="41"/>
      <c r="BC73" s="41"/>
    </row>
    <row r="74" spans="3:56" ht="12.75" hidden="1" customHeight="1" x14ac:dyDescent="0.35">
      <c r="AG74" s="334"/>
      <c r="AH74" s="334"/>
      <c r="AI74" s="334"/>
      <c r="AJ74" s="334"/>
      <c r="AK74" s="334"/>
      <c r="AL74" s="334"/>
      <c r="AM74" s="334"/>
      <c r="AN74" s="41"/>
      <c r="AO74" s="41"/>
      <c r="AP74" s="41"/>
      <c r="AQ74" s="9"/>
      <c r="AR74" s="338"/>
      <c r="AS74" s="41"/>
      <c r="AT74" s="9"/>
      <c r="AU74" s="338"/>
      <c r="AV74" s="41"/>
      <c r="AW74" s="41"/>
      <c r="AX74" s="41"/>
      <c r="AY74" s="41"/>
      <c r="AZ74" s="41"/>
      <c r="BA74" s="41"/>
      <c r="BB74" s="41"/>
      <c r="BC74" s="41"/>
    </row>
    <row r="75" spans="3:56" ht="15" hidden="1" x14ac:dyDescent="0.3">
      <c r="AG75" s="334"/>
      <c r="AH75" s="334"/>
      <c r="AI75" s="334"/>
      <c r="AJ75" s="334"/>
      <c r="AK75" s="334"/>
      <c r="AL75" s="334"/>
      <c r="AM75" s="334"/>
      <c r="AN75" s="41"/>
      <c r="AO75" s="41"/>
      <c r="AP75" s="41"/>
      <c r="AQ75" s="41"/>
      <c r="AR75" s="9"/>
      <c r="AS75" s="41"/>
      <c r="AT75" s="9"/>
      <c r="AU75" s="9"/>
      <c r="AV75" s="41"/>
      <c r="AW75" s="41"/>
      <c r="AX75" s="41"/>
      <c r="AY75" s="41"/>
      <c r="AZ75" s="41"/>
      <c r="BA75" s="41"/>
      <c r="BB75" s="41"/>
      <c r="BC75" s="41"/>
    </row>
    <row r="76" spans="3:56" ht="15" hidden="1" x14ac:dyDescent="0.3">
      <c r="AG76" s="334"/>
      <c r="AH76" s="334"/>
      <c r="AI76" s="334"/>
      <c r="AJ76" s="334"/>
      <c r="AK76" s="334"/>
      <c r="AL76" s="334"/>
      <c r="AM76" s="334"/>
      <c r="AN76" s="41"/>
      <c r="AO76" s="41"/>
      <c r="AP76" s="41"/>
      <c r="AQ76" s="10"/>
      <c r="AR76" s="41"/>
      <c r="AS76" s="41"/>
      <c r="AT76" s="10"/>
      <c r="AU76" s="10"/>
      <c r="AV76" s="41"/>
      <c r="AW76" s="41"/>
      <c r="AX76" s="41"/>
      <c r="AY76" s="41"/>
      <c r="AZ76" s="41"/>
      <c r="BA76" s="41"/>
      <c r="BB76" s="41"/>
      <c r="BC76" s="41"/>
    </row>
    <row r="77" spans="3:56" ht="15.75" hidden="1" customHeight="1" x14ac:dyDescent="0.3">
      <c r="AG77" s="334"/>
      <c r="AH77" s="334"/>
      <c r="AI77" s="334"/>
      <c r="AJ77" s="334"/>
      <c r="AK77" s="334"/>
      <c r="AL77" s="334"/>
      <c r="AM77" s="334"/>
      <c r="AN77" s="41"/>
      <c r="AO77" s="41"/>
      <c r="AP77" s="41"/>
      <c r="AQ77" s="41"/>
      <c r="AR77" s="10"/>
      <c r="AS77" s="41"/>
      <c r="AT77" s="10"/>
      <c r="AU77" s="10"/>
      <c r="AV77" s="41"/>
      <c r="AW77" s="41"/>
      <c r="AX77" s="41"/>
      <c r="AY77" s="41"/>
      <c r="AZ77" s="41"/>
      <c r="BA77" s="41"/>
      <c r="BB77" s="41"/>
      <c r="BC77" s="41"/>
    </row>
    <row r="78" spans="3:56" ht="15" hidden="1" x14ac:dyDescent="0.3">
      <c r="AG78" s="334"/>
      <c r="AH78" s="334"/>
      <c r="AI78" s="334"/>
      <c r="AJ78" s="334"/>
      <c r="AK78" s="334"/>
      <c r="AL78" s="334"/>
      <c r="AM78" s="334"/>
      <c r="AN78" s="41"/>
      <c r="AO78" s="41"/>
      <c r="AP78" s="41"/>
      <c r="AQ78" s="10"/>
      <c r="AR78" s="41"/>
      <c r="AS78" s="41"/>
      <c r="AT78" s="10"/>
      <c r="AU78" s="10"/>
      <c r="AV78" s="41"/>
      <c r="AW78" s="41"/>
      <c r="AX78" s="41"/>
      <c r="AY78" s="41"/>
      <c r="AZ78" s="41"/>
      <c r="BA78" s="41"/>
      <c r="BB78" s="41"/>
      <c r="BC78" s="41"/>
    </row>
    <row r="79" spans="3:56" ht="17.149999999999999" hidden="1" x14ac:dyDescent="0.5">
      <c r="C79" s="370" t="s">
        <v>141</v>
      </c>
      <c r="D79" s="370" t="s">
        <v>142</v>
      </c>
      <c r="E79" s="370" t="s">
        <v>143</v>
      </c>
      <c r="F79" s="371" t="s">
        <v>144</v>
      </c>
      <c r="G79" s="372"/>
      <c r="H79" s="373" t="s">
        <v>145</v>
      </c>
      <c r="I79" s="373" t="s">
        <v>145</v>
      </c>
      <c r="J79" s="373" t="s">
        <v>145</v>
      </c>
      <c r="AG79" s="334"/>
      <c r="AH79" s="334"/>
      <c r="AI79" s="334"/>
      <c r="AJ79" s="334"/>
      <c r="AK79" s="334"/>
      <c r="AL79" s="334"/>
      <c r="AM79" s="334"/>
      <c r="AN79" s="41"/>
      <c r="AO79" s="41"/>
      <c r="AP79" s="41"/>
      <c r="AQ79" s="10"/>
      <c r="AR79" s="10"/>
      <c r="AS79" s="41"/>
      <c r="AT79" s="10"/>
      <c r="AU79" s="10"/>
      <c r="AV79" s="41"/>
      <c r="AW79" s="41"/>
      <c r="AX79" s="41"/>
      <c r="AY79" s="41"/>
      <c r="AZ79" s="41"/>
      <c r="BA79" s="41"/>
      <c r="BB79" s="41"/>
      <c r="BC79" s="41"/>
    </row>
    <row r="80" spans="3:56" ht="15" hidden="1" x14ac:dyDescent="0.3">
      <c r="C80" s="357">
        <v>1</v>
      </c>
      <c r="D80" s="357">
        <v>0</v>
      </c>
      <c r="E80" s="357">
        <v>-2</v>
      </c>
      <c r="F80" s="374">
        <v>0.14632971213167001</v>
      </c>
      <c r="G80" s="375"/>
      <c r="H80" s="376">
        <f t="shared" ref="H80:H113" si="81">-F80*D80*(7.1-$D$70)^(D80-1)*($D$69-1.222)^E80</f>
        <v>0</v>
      </c>
      <c r="I80" s="376">
        <f>-F80*D80*(7.1-$E$70)^(D80-1)*($E$69-1.222)^E80</f>
        <v>0</v>
      </c>
      <c r="J80" s="377">
        <f>-F80*D80*(7.1-$G$70)^(D80-1)*($G$69-1.222)^E80</f>
        <v>0</v>
      </c>
      <c r="AG80" s="334"/>
      <c r="AH80" s="334"/>
      <c r="AI80" s="334"/>
      <c r="AJ80" s="334"/>
      <c r="AK80" s="334"/>
      <c r="AL80" s="334"/>
      <c r="AM80" s="334"/>
      <c r="AN80" s="41"/>
      <c r="AO80" s="41"/>
      <c r="AP80" s="41"/>
      <c r="AQ80" s="10"/>
      <c r="AR80" s="10"/>
      <c r="AS80" s="41"/>
      <c r="AT80" s="10"/>
      <c r="AU80" s="10"/>
      <c r="AV80" s="41"/>
      <c r="AW80" s="41"/>
      <c r="AX80" s="41"/>
      <c r="AY80" s="41"/>
      <c r="AZ80" s="41"/>
      <c r="BA80" s="41"/>
      <c r="BB80" s="41"/>
      <c r="BC80" s="41"/>
    </row>
    <row r="81" spans="3:55" ht="15" hidden="1" x14ac:dyDescent="0.3">
      <c r="C81" s="357">
        <v>2</v>
      </c>
      <c r="D81" s="357">
        <v>0</v>
      </c>
      <c r="E81" s="357">
        <v>-1</v>
      </c>
      <c r="F81" s="374">
        <v>-0.84548187169113997</v>
      </c>
      <c r="G81" s="375"/>
      <c r="H81" s="376">
        <f t="shared" si="81"/>
        <v>0</v>
      </c>
      <c r="I81" s="376">
        <f t="shared" ref="I81:I113" si="82">-F81*D81*(7.1-$E$70)^(D81-1)*($E$69-1.222)^E81</f>
        <v>0</v>
      </c>
      <c r="J81" s="377">
        <f t="shared" ref="J81:J113" si="83">-F81*D81*(7.1-$G$70)^(D81-1)*($G$69-1.222)^E81</f>
        <v>0</v>
      </c>
      <c r="AG81" s="334"/>
      <c r="AH81" s="334"/>
      <c r="AI81" s="334"/>
      <c r="AJ81" s="334"/>
      <c r="AK81" s="334"/>
      <c r="AL81" s="334"/>
      <c r="AM81" s="334"/>
      <c r="AN81" s="41"/>
      <c r="AO81" s="41"/>
      <c r="AP81" s="41"/>
      <c r="AQ81" s="41"/>
      <c r="AR81" s="10"/>
      <c r="AS81" s="41"/>
      <c r="AT81" s="10"/>
      <c r="AU81" s="10"/>
      <c r="AV81" s="41"/>
      <c r="AW81" s="41"/>
      <c r="AX81" s="41"/>
      <c r="AY81" s="41"/>
      <c r="AZ81" s="41"/>
      <c r="BA81" s="41"/>
      <c r="BB81" s="41"/>
      <c r="BC81" s="41"/>
    </row>
    <row r="82" spans="3:55" hidden="1" x14ac:dyDescent="0.3">
      <c r="C82" s="357">
        <v>3</v>
      </c>
      <c r="D82" s="357">
        <v>0</v>
      </c>
      <c r="E82" s="357">
        <v>0</v>
      </c>
      <c r="F82" s="374">
        <v>-3.756360367204</v>
      </c>
      <c r="G82" s="375"/>
      <c r="H82" s="376">
        <f t="shared" si="81"/>
        <v>0</v>
      </c>
      <c r="I82" s="376">
        <f t="shared" si="82"/>
        <v>0</v>
      </c>
      <c r="J82" s="377">
        <f t="shared" si="83"/>
        <v>0</v>
      </c>
      <c r="AG82" s="334"/>
      <c r="AH82" s="334"/>
      <c r="AI82" s="334"/>
      <c r="AJ82" s="334"/>
      <c r="AK82" s="334"/>
      <c r="AL82" s="334"/>
      <c r="AM82" s="334"/>
      <c r="AN82" s="41"/>
      <c r="AO82" s="41"/>
      <c r="AP82" s="41"/>
      <c r="AQ82" s="41"/>
      <c r="AR82" s="41"/>
      <c r="AS82" s="41"/>
      <c r="AT82" s="259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3:55" hidden="1" x14ac:dyDescent="0.3">
      <c r="C83" s="357">
        <v>4</v>
      </c>
      <c r="D83" s="357">
        <v>0</v>
      </c>
      <c r="E83" s="357">
        <v>1</v>
      </c>
      <c r="F83" s="374">
        <v>3.3855169168385002</v>
      </c>
      <c r="G83" s="375"/>
      <c r="H83" s="376">
        <f t="shared" si="81"/>
        <v>0</v>
      </c>
      <c r="I83" s="376">
        <f t="shared" si="82"/>
        <v>0</v>
      </c>
      <c r="J83" s="377">
        <f t="shared" si="83"/>
        <v>0</v>
      </c>
      <c r="AG83" s="334"/>
      <c r="AH83" s="334"/>
      <c r="AI83" s="334"/>
      <c r="AJ83" s="334"/>
      <c r="AK83" s="334"/>
      <c r="AL83" s="334"/>
      <c r="AM83" s="334"/>
      <c r="AN83" s="41"/>
      <c r="AO83" s="41"/>
      <c r="AP83" s="41"/>
      <c r="AQ83" s="41"/>
      <c r="AR83" s="41"/>
      <c r="AS83" s="41"/>
      <c r="AT83" s="259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3:55" hidden="1" x14ac:dyDescent="0.3">
      <c r="C84" s="357">
        <v>5</v>
      </c>
      <c r="D84" s="357">
        <v>0</v>
      </c>
      <c r="E84" s="357">
        <v>2</v>
      </c>
      <c r="F84" s="374">
        <v>-0.95791963387872003</v>
      </c>
      <c r="G84" s="375"/>
      <c r="H84" s="376">
        <f t="shared" si="81"/>
        <v>0</v>
      </c>
      <c r="I84" s="376">
        <f t="shared" si="82"/>
        <v>0</v>
      </c>
      <c r="J84" s="377">
        <f t="shared" si="83"/>
        <v>0</v>
      </c>
      <c r="M84" s="259"/>
      <c r="N84" s="345"/>
      <c r="O84" s="258"/>
      <c r="P84" s="41"/>
      <c r="Q84" s="41"/>
      <c r="R84" s="41"/>
      <c r="S84" s="41"/>
      <c r="T84" s="41"/>
      <c r="U84" s="258"/>
      <c r="V84" s="41"/>
      <c r="W84" s="41"/>
      <c r="X84" s="41"/>
      <c r="Y84" s="41"/>
      <c r="Z84" s="41"/>
      <c r="AA84" s="258"/>
      <c r="AB84" s="41"/>
      <c r="AC84" s="41"/>
      <c r="AD84" s="41"/>
      <c r="AE84" s="41"/>
      <c r="AF84" s="41"/>
      <c r="AG84" s="258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259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3:55" hidden="1" x14ac:dyDescent="0.3">
      <c r="C85" s="357">
        <v>6</v>
      </c>
      <c r="D85" s="357">
        <v>0</v>
      </c>
      <c r="E85" s="357">
        <v>3</v>
      </c>
      <c r="F85" s="374">
        <v>0.15772038513228001</v>
      </c>
      <c r="G85" s="375"/>
      <c r="H85" s="376">
        <f t="shared" si="81"/>
        <v>0</v>
      </c>
      <c r="I85" s="376">
        <f t="shared" si="82"/>
        <v>0</v>
      </c>
      <c r="J85" s="377">
        <f t="shared" si="83"/>
        <v>0</v>
      </c>
      <c r="M85" s="346"/>
      <c r="N85" s="345"/>
      <c r="O85" s="258"/>
      <c r="P85" s="41"/>
      <c r="Q85" s="41"/>
      <c r="R85" s="41"/>
      <c r="S85" s="41"/>
      <c r="T85" s="41"/>
      <c r="U85" s="258"/>
      <c r="V85" s="41"/>
      <c r="W85" s="41"/>
      <c r="X85" s="41"/>
      <c r="Y85" s="41"/>
      <c r="Z85" s="41"/>
      <c r="AA85" s="258"/>
      <c r="AB85" s="41"/>
      <c r="AC85" s="41"/>
      <c r="AD85" s="41"/>
      <c r="AE85" s="41"/>
      <c r="AF85" s="41"/>
      <c r="AG85" s="258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259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3:55" hidden="1" x14ac:dyDescent="0.3">
      <c r="C86" s="357">
        <v>7</v>
      </c>
      <c r="D86" s="357">
        <v>0</v>
      </c>
      <c r="E86" s="357">
        <v>4</v>
      </c>
      <c r="F86" s="374">
        <v>-1.6616417199501E-2</v>
      </c>
      <c r="G86" s="375"/>
      <c r="H86" s="376">
        <f t="shared" si="81"/>
        <v>0</v>
      </c>
      <c r="I86" s="376">
        <f t="shared" si="82"/>
        <v>0</v>
      </c>
      <c r="J86" s="377">
        <f t="shared" si="83"/>
        <v>0</v>
      </c>
      <c r="M86" s="41"/>
      <c r="N86" s="34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49"/>
      <c r="AN86" s="258"/>
      <c r="AO86" s="258"/>
      <c r="AP86" s="349"/>
      <c r="AQ86" s="349"/>
      <c r="AR86" s="41"/>
      <c r="AS86" s="41"/>
      <c r="AT86" s="259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3:55" ht="15" hidden="1" x14ac:dyDescent="0.3">
      <c r="C87" s="357">
        <v>8</v>
      </c>
      <c r="D87" s="357">
        <v>0</v>
      </c>
      <c r="E87" s="357">
        <v>5</v>
      </c>
      <c r="F87" s="374">
        <v>8.1214629983567997E-4</v>
      </c>
      <c r="G87" s="375"/>
      <c r="H87" s="376">
        <f t="shared" si="81"/>
        <v>0</v>
      </c>
      <c r="I87" s="376">
        <f t="shared" si="82"/>
        <v>0</v>
      </c>
      <c r="J87" s="377">
        <f t="shared" si="83"/>
        <v>0</v>
      </c>
      <c r="M87" s="350"/>
      <c r="N87" s="37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349"/>
      <c r="AS87" s="258"/>
      <c r="AT87" s="259"/>
      <c r="AU87" s="258"/>
      <c r="AV87" s="258"/>
      <c r="AW87" s="349"/>
      <c r="AX87" s="349"/>
      <c r="AY87" s="258"/>
      <c r="AZ87" s="258"/>
      <c r="BA87" s="258"/>
      <c r="BB87" s="258"/>
      <c r="BC87" s="349"/>
    </row>
    <row r="88" spans="3:55" ht="15" hidden="1" x14ac:dyDescent="0.3">
      <c r="C88" s="357">
        <v>9</v>
      </c>
      <c r="D88" s="357">
        <v>1</v>
      </c>
      <c r="E88" s="357">
        <v>-9</v>
      </c>
      <c r="F88" s="374">
        <v>2.8319080123804E-4</v>
      </c>
      <c r="G88" s="375"/>
      <c r="H88" s="376">
        <f t="shared" si="81"/>
        <v>-1.3016391649806926E-7</v>
      </c>
      <c r="I88" s="376">
        <f t="shared" si="82"/>
        <v>-2.534709392903721E-8</v>
      </c>
      <c r="J88" s="377">
        <f t="shared" si="83"/>
        <v>-1.7347211690283853E-8</v>
      </c>
      <c r="M88" s="351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18"/>
      <c r="AS88" s="18"/>
      <c r="AT88" s="106"/>
      <c r="AU88" s="18"/>
      <c r="AV88" s="18"/>
      <c r="AW88" s="18"/>
      <c r="AX88" s="18"/>
      <c r="AY88" s="18"/>
      <c r="AZ88" s="18"/>
      <c r="BA88" s="18"/>
      <c r="BB88" s="18"/>
      <c r="BC88" s="18"/>
    </row>
    <row r="89" spans="3:55" ht="15" hidden="1" x14ac:dyDescent="0.3">
      <c r="C89" s="357">
        <v>10</v>
      </c>
      <c r="D89" s="357">
        <v>1</v>
      </c>
      <c r="E89" s="357">
        <v>-7</v>
      </c>
      <c r="F89" s="374">
        <v>-6.0706301565873996E-4</v>
      </c>
      <c r="G89" s="375"/>
      <c r="H89" s="376">
        <f t="shared" si="81"/>
        <v>1.5393294610450025E-6</v>
      </c>
      <c r="I89" s="376">
        <f t="shared" si="82"/>
        <v>4.3119320756857168E-7</v>
      </c>
      <c r="J89" s="377">
        <f t="shared" si="83"/>
        <v>3.2105030052185256E-7</v>
      </c>
      <c r="M89" s="351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109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3:55" ht="15.45" hidden="1" x14ac:dyDescent="0.3">
      <c r="C90" s="357">
        <v>11</v>
      </c>
      <c r="D90" s="357">
        <v>1</v>
      </c>
      <c r="E90" s="357">
        <v>-1</v>
      </c>
      <c r="F90" s="374">
        <v>-1.8990068218419E-2</v>
      </c>
      <c r="G90" s="375"/>
      <c r="H90" s="376">
        <f t="shared" si="81"/>
        <v>8.0850619948182878E-3</v>
      </c>
      <c r="I90" s="376">
        <f t="shared" si="82"/>
        <v>6.7411186758329173E-3</v>
      </c>
      <c r="J90" s="377">
        <f t="shared" si="83"/>
        <v>6.4629699995783904E-3</v>
      </c>
      <c r="M90" s="351"/>
      <c r="N90" s="38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37"/>
      <c r="AS90" s="37"/>
      <c r="AT90" s="109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3:55" ht="15" hidden="1" x14ac:dyDescent="0.3">
      <c r="C91" s="357">
        <v>12</v>
      </c>
      <c r="D91" s="357">
        <v>1</v>
      </c>
      <c r="E91" s="357">
        <v>0</v>
      </c>
      <c r="F91" s="374">
        <v>-3.2529748770504997E-2</v>
      </c>
      <c r="G91" s="375"/>
      <c r="H91" s="376">
        <f t="shared" si="81"/>
        <v>3.2529748770504997E-2</v>
      </c>
      <c r="I91" s="376">
        <f t="shared" si="82"/>
        <v>3.2529748770504997E-2</v>
      </c>
      <c r="J91" s="377">
        <f t="shared" si="83"/>
        <v>3.2529748770504997E-2</v>
      </c>
      <c r="M91" s="350"/>
      <c r="N91" s="37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7"/>
      <c r="AS91" s="7"/>
      <c r="AT91" s="105"/>
      <c r="AU91" s="7"/>
      <c r="AV91" s="7"/>
      <c r="AW91" s="7"/>
      <c r="AX91" s="7"/>
      <c r="AY91" s="7"/>
      <c r="AZ91" s="7"/>
      <c r="BA91" s="7"/>
      <c r="BB91" s="7"/>
      <c r="BC91" s="7"/>
    </row>
    <row r="92" spans="3:55" ht="15" hidden="1" x14ac:dyDescent="0.3">
      <c r="C92" s="357">
        <v>13</v>
      </c>
      <c r="D92" s="357">
        <v>1</v>
      </c>
      <c r="E92" s="357">
        <v>1</v>
      </c>
      <c r="F92" s="374">
        <v>-2.1841717175413999E-2</v>
      </c>
      <c r="G92" s="375"/>
      <c r="H92" s="376">
        <f t="shared" si="81"/>
        <v>5.1301486548199049E-2</v>
      </c>
      <c r="I92" s="376">
        <f t="shared" si="82"/>
        <v>6.1529208891620217E-2</v>
      </c>
      <c r="J92" s="377">
        <f t="shared" si="83"/>
        <v>6.4177258937544751E-2</v>
      </c>
      <c r="M92" s="258"/>
      <c r="N92" s="3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39"/>
      <c r="AS92" s="39"/>
      <c r="AT92" s="104"/>
      <c r="AU92" s="39"/>
      <c r="AV92" s="39"/>
      <c r="AW92" s="39"/>
      <c r="AX92" s="39"/>
      <c r="AY92" s="39"/>
      <c r="AZ92" s="39"/>
      <c r="BA92" s="39"/>
      <c r="BB92" s="39"/>
      <c r="BC92" s="39"/>
    </row>
    <row r="93" spans="3:55" ht="15.45" hidden="1" x14ac:dyDescent="0.3">
      <c r="C93" s="357">
        <v>14</v>
      </c>
      <c r="D93" s="357">
        <v>1</v>
      </c>
      <c r="E93" s="357">
        <v>3</v>
      </c>
      <c r="F93" s="374">
        <v>-5.2838357969930002E-5</v>
      </c>
      <c r="G93" s="375"/>
      <c r="H93" s="376">
        <f t="shared" si="81"/>
        <v>6.8466609883932627E-4</v>
      </c>
      <c r="I93" s="376">
        <f t="shared" si="82"/>
        <v>1.1812259215529407E-3</v>
      </c>
      <c r="J93" s="377">
        <f t="shared" si="83"/>
        <v>1.340393976333466E-3</v>
      </c>
      <c r="M93" s="353"/>
      <c r="N93" s="3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06"/>
      <c r="AU93" s="18"/>
      <c r="AV93" s="18"/>
      <c r="AW93" s="18"/>
      <c r="AX93" s="18"/>
      <c r="AY93" s="18"/>
      <c r="AZ93" s="18"/>
      <c r="BA93" s="18"/>
      <c r="BB93" s="18"/>
      <c r="BC93" s="18"/>
    </row>
    <row r="94" spans="3:55" ht="15.45" hidden="1" x14ac:dyDescent="0.3">
      <c r="C94" s="357">
        <v>15</v>
      </c>
      <c r="D94" s="357">
        <v>2</v>
      </c>
      <c r="E94" s="357">
        <v>-3</v>
      </c>
      <c r="F94" s="374">
        <v>-4.7184321073266998E-4</v>
      </c>
      <c r="G94" s="375"/>
      <c r="H94" s="376">
        <f t="shared" si="81"/>
        <v>5.1405414137987103E-4</v>
      </c>
      <c r="I94" s="376">
        <f t="shared" si="82"/>
        <v>2.9845863815808034E-4</v>
      </c>
      <c r="J94" s="377">
        <f t="shared" si="83"/>
        <v>2.6191403070284979E-4</v>
      </c>
      <c r="M94" s="41"/>
      <c r="N94" s="4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18"/>
      <c r="AS94" s="18"/>
      <c r="AT94" s="106"/>
      <c r="AU94" s="18"/>
      <c r="AV94" s="18"/>
      <c r="AW94" s="18"/>
      <c r="AX94" s="18"/>
      <c r="AY94" s="18"/>
      <c r="AZ94" s="18"/>
      <c r="BA94" s="18"/>
      <c r="BB94" s="18"/>
      <c r="BC94" s="18"/>
    </row>
    <row r="95" spans="3:55" ht="15.45" hidden="1" x14ac:dyDescent="0.3">
      <c r="C95" s="357">
        <v>16</v>
      </c>
      <c r="D95" s="357">
        <v>2</v>
      </c>
      <c r="E95" s="357">
        <v>0</v>
      </c>
      <c r="F95" s="374">
        <v>-3.0001780793025999E-4</v>
      </c>
      <c r="G95" s="375"/>
      <c r="H95" s="376">
        <f t="shared" si="81"/>
        <v>4.2353343154978044E-3</v>
      </c>
      <c r="I95" s="376">
        <f t="shared" si="82"/>
        <v>4.2424539032440579E-3</v>
      </c>
      <c r="J95" s="377">
        <f t="shared" si="83"/>
        <v>4.2246549338784238E-3</v>
      </c>
      <c r="M95" s="41"/>
      <c r="N95" s="4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21"/>
      <c r="AS95" s="21"/>
      <c r="AT95" s="107"/>
      <c r="AU95" s="21"/>
      <c r="AV95" s="21"/>
      <c r="AW95" s="21"/>
      <c r="AX95" s="21"/>
      <c r="AY95" s="21"/>
      <c r="AZ95" s="21"/>
      <c r="BA95" s="21"/>
      <c r="BB95" s="21"/>
      <c r="BC95" s="21"/>
    </row>
    <row r="96" spans="3:55" ht="15.45" hidden="1" x14ac:dyDescent="0.3">
      <c r="C96" s="357">
        <v>17</v>
      </c>
      <c r="D96" s="357">
        <v>2</v>
      </c>
      <c r="E96" s="357">
        <v>1</v>
      </c>
      <c r="F96" s="374">
        <v>4.7661393906987001E-5</v>
      </c>
      <c r="G96" s="375"/>
      <c r="H96" s="376">
        <f t="shared" si="81"/>
        <v>-1.5803401486433977E-3</v>
      </c>
      <c r="I96" s="376">
        <f t="shared" si="82"/>
        <v>-1.8985908790791187E-3</v>
      </c>
      <c r="J96" s="377">
        <f t="shared" si="83"/>
        <v>-1.9719928358707425E-3</v>
      </c>
      <c r="M96" s="41"/>
      <c r="N96" s="37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18"/>
      <c r="AS96" s="18"/>
      <c r="AT96" s="106"/>
      <c r="AU96" s="18"/>
      <c r="AV96" s="18"/>
      <c r="AW96" s="18"/>
      <c r="AX96" s="18"/>
      <c r="AY96" s="18"/>
      <c r="AZ96" s="18"/>
      <c r="BA96" s="18"/>
      <c r="BB96" s="18"/>
      <c r="BC96" s="18"/>
    </row>
    <row r="97" spans="3:55" ht="15.45" hidden="1" x14ac:dyDescent="0.3">
      <c r="C97" s="357">
        <v>18</v>
      </c>
      <c r="D97" s="357">
        <v>2</v>
      </c>
      <c r="E97" s="357">
        <v>3</v>
      </c>
      <c r="F97" s="374">
        <v>-4.4141845330845997E-6</v>
      </c>
      <c r="G97" s="375"/>
      <c r="H97" s="376">
        <f t="shared" si="81"/>
        <v>8.074593348296105E-4</v>
      </c>
      <c r="I97" s="376">
        <f t="shared" si="82"/>
        <v>1.3954177381040739E-3</v>
      </c>
      <c r="J97" s="377">
        <f t="shared" si="83"/>
        <v>1.5768044892199835E-3</v>
      </c>
      <c r="M97" s="41"/>
      <c r="N97" s="19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22"/>
      <c r="AS97" s="22"/>
      <c r="AT97" s="108"/>
      <c r="AU97" s="22"/>
      <c r="AV97" s="22"/>
      <c r="AW97" s="22"/>
      <c r="AX97" s="22"/>
      <c r="AY97" s="22"/>
      <c r="AZ97" s="22"/>
      <c r="BA97" s="22"/>
      <c r="BB97" s="22"/>
      <c r="BC97" s="22"/>
    </row>
    <row r="98" spans="3:55" ht="15.45" hidden="1" x14ac:dyDescent="0.4">
      <c r="C98" s="357">
        <v>19</v>
      </c>
      <c r="D98" s="357">
        <v>2</v>
      </c>
      <c r="E98" s="357">
        <v>17</v>
      </c>
      <c r="F98" s="374">
        <v>-7.2694996297594001E-16</v>
      </c>
      <c r="G98" s="375"/>
      <c r="H98" s="376">
        <f t="shared" si="81"/>
        <v>2.068135935882509E-8</v>
      </c>
      <c r="I98" s="376">
        <f t="shared" si="82"/>
        <v>4.5549330865626397E-7</v>
      </c>
      <c r="J98" s="377">
        <f t="shared" si="83"/>
        <v>9.2843877567459729E-7</v>
      </c>
      <c r="M98" s="356"/>
      <c r="N98" s="41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41"/>
      <c r="AO98" s="41"/>
      <c r="AP98" s="41"/>
      <c r="AQ98" s="21"/>
      <c r="AR98" s="18"/>
      <c r="AS98" s="18"/>
      <c r="AT98" s="106"/>
      <c r="AU98" s="18"/>
      <c r="AV98" s="18"/>
      <c r="AW98" s="18"/>
      <c r="AX98" s="18"/>
      <c r="AY98" s="18"/>
      <c r="AZ98" s="18"/>
      <c r="BA98" s="18"/>
      <c r="BB98" s="18"/>
      <c r="BC98" s="8"/>
    </row>
    <row r="99" spans="3:55" ht="15" hidden="1" x14ac:dyDescent="0.3">
      <c r="C99" s="357">
        <v>20</v>
      </c>
      <c r="D99" s="357">
        <v>3</v>
      </c>
      <c r="E99" s="357">
        <v>-4</v>
      </c>
      <c r="F99" s="374">
        <v>-3.1679644845054002E-5</v>
      </c>
      <c r="G99" s="375"/>
      <c r="H99" s="376">
        <f t="shared" si="81"/>
        <v>1.5557872652983832E-4</v>
      </c>
      <c r="I99" s="376">
        <f t="shared" si="82"/>
        <v>7.5440326038403533E-5</v>
      </c>
      <c r="J99" s="377">
        <f t="shared" si="83"/>
        <v>6.3205146853647124E-5</v>
      </c>
      <c r="M99" s="41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58"/>
      <c r="AN99" s="41"/>
      <c r="AO99" s="41"/>
      <c r="AP99" s="41"/>
      <c r="AQ99" s="18"/>
      <c r="AR99" s="21"/>
      <c r="AS99" s="21"/>
      <c r="AT99" s="107"/>
      <c r="AU99" s="21"/>
      <c r="AV99" s="21"/>
      <c r="AW99" s="21"/>
      <c r="AX99" s="21"/>
      <c r="AY99" s="21"/>
      <c r="AZ99" s="21"/>
      <c r="BA99" s="21"/>
      <c r="BB99" s="21"/>
      <c r="BC99" s="8"/>
    </row>
    <row r="100" spans="3:55" ht="15.45" hidden="1" x14ac:dyDescent="0.3">
      <c r="C100" s="357">
        <v>21</v>
      </c>
      <c r="D100" s="357">
        <v>3</v>
      </c>
      <c r="E100" s="357">
        <v>0</v>
      </c>
      <c r="F100" s="374">
        <v>-2.8270797985312E-6</v>
      </c>
      <c r="G100" s="375"/>
      <c r="H100" s="376">
        <f t="shared" si="81"/>
        <v>4.2255248246437864E-4</v>
      </c>
      <c r="I100" s="376">
        <f t="shared" si="82"/>
        <v>4.2397429609631021E-4</v>
      </c>
      <c r="J100" s="377">
        <f t="shared" si="83"/>
        <v>4.2042423962608143E-4</v>
      </c>
      <c r="M100" s="359"/>
      <c r="N100" s="258"/>
      <c r="O100" s="360"/>
      <c r="P100" s="360"/>
      <c r="Q100" s="360"/>
      <c r="R100" s="360"/>
      <c r="S100" s="360"/>
      <c r="T100" s="360"/>
      <c r="U100" s="360"/>
      <c r="V100" s="360"/>
      <c r="W100" s="360"/>
      <c r="X100" s="360"/>
      <c r="Y100" s="360"/>
      <c r="Z100" s="360"/>
      <c r="AA100" s="360"/>
      <c r="AB100" s="360"/>
      <c r="AC100" s="360"/>
      <c r="AD100" s="360"/>
      <c r="AE100" s="360"/>
      <c r="AF100" s="360"/>
      <c r="AG100" s="360"/>
      <c r="AH100" s="360"/>
      <c r="AI100" s="360"/>
      <c r="AJ100" s="360"/>
      <c r="AK100" s="360"/>
      <c r="AL100" s="360"/>
      <c r="AM100" s="360"/>
      <c r="AN100" s="41"/>
      <c r="AO100" s="41"/>
      <c r="AP100" s="41"/>
      <c r="AQ100" s="22"/>
      <c r="AR100" s="18"/>
      <c r="AS100" s="18"/>
      <c r="AT100" s="106"/>
      <c r="AU100" s="18"/>
      <c r="AV100" s="18"/>
      <c r="AW100" s="18"/>
      <c r="AX100" s="18"/>
      <c r="AY100" s="18"/>
      <c r="AZ100" s="18"/>
      <c r="BA100" s="18"/>
      <c r="BB100" s="18"/>
      <c r="BC100" s="8"/>
    </row>
    <row r="101" spans="3:55" ht="15.45" hidden="1" x14ac:dyDescent="0.3">
      <c r="C101" s="357">
        <v>22</v>
      </c>
      <c r="D101" s="357">
        <v>3</v>
      </c>
      <c r="E101" s="357">
        <v>6</v>
      </c>
      <c r="F101" s="374">
        <v>-8.5205128120103004E-10</v>
      </c>
      <c r="G101" s="375"/>
      <c r="H101" s="376">
        <f t="shared" si="81"/>
        <v>2.138293654413362E-5</v>
      </c>
      <c r="I101" s="376">
        <f t="shared" si="82"/>
        <v>6.3860822298248741E-5</v>
      </c>
      <c r="J101" s="377">
        <f t="shared" si="83"/>
        <v>8.1542068338572702E-5</v>
      </c>
      <c r="M101" s="359"/>
      <c r="N101" s="258"/>
      <c r="O101" s="360"/>
      <c r="P101" s="360"/>
      <c r="Q101" s="360"/>
      <c r="R101" s="360"/>
      <c r="S101" s="360"/>
      <c r="T101" s="360"/>
      <c r="U101" s="360"/>
      <c r="V101" s="360"/>
      <c r="W101" s="360"/>
      <c r="X101" s="360"/>
      <c r="Y101" s="360"/>
      <c r="Z101" s="360"/>
      <c r="AA101" s="360"/>
      <c r="AB101" s="360"/>
      <c r="AC101" s="360"/>
      <c r="AD101" s="360"/>
      <c r="AE101" s="360"/>
      <c r="AF101" s="360"/>
      <c r="AG101" s="360"/>
      <c r="AH101" s="360"/>
      <c r="AI101" s="360"/>
      <c r="AJ101" s="360"/>
      <c r="AK101" s="360"/>
      <c r="AL101" s="360"/>
      <c r="AM101" s="360"/>
      <c r="AN101" s="41"/>
      <c r="AO101" s="41"/>
      <c r="AP101" s="41"/>
      <c r="AQ101" s="8"/>
      <c r="AR101" s="22"/>
      <c r="AS101" s="22"/>
      <c r="AT101" s="108"/>
      <c r="AU101" s="22"/>
      <c r="AV101" s="22"/>
      <c r="AW101" s="22"/>
      <c r="AX101" s="22"/>
      <c r="AY101" s="22"/>
      <c r="AZ101" s="22"/>
      <c r="BA101" s="22"/>
      <c r="BB101" s="22"/>
      <c r="BC101" s="8"/>
    </row>
    <row r="102" spans="3:55" hidden="1" x14ac:dyDescent="0.3">
      <c r="C102" s="357">
        <v>23</v>
      </c>
      <c r="D102" s="357">
        <v>4</v>
      </c>
      <c r="E102" s="357">
        <v>-5</v>
      </c>
      <c r="F102" s="374">
        <v>-2.2425281907999999E-6</v>
      </c>
      <c r="G102" s="375"/>
      <c r="H102" s="376">
        <f t="shared" si="81"/>
        <v>4.4127980569451909E-5</v>
      </c>
      <c r="I102" s="376">
        <f t="shared" si="82"/>
        <v>1.7870859947547514E-5</v>
      </c>
      <c r="J102" s="377">
        <f t="shared" si="83"/>
        <v>1.4294488390147916E-5</v>
      </c>
      <c r="M102" s="41"/>
      <c r="N102" s="362"/>
      <c r="O102" s="41"/>
      <c r="P102" s="363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8"/>
      <c r="AR102" s="8"/>
      <c r="AS102" s="8"/>
      <c r="AT102" s="259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hidden="1" x14ac:dyDescent="0.3">
      <c r="C103" s="357">
        <v>24</v>
      </c>
      <c r="D103" s="357">
        <v>4</v>
      </c>
      <c r="E103" s="357">
        <v>-2</v>
      </c>
      <c r="F103" s="374">
        <v>-6.5171222895601002E-7</v>
      </c>
      <c r="G103" s="375"/>
      <c r="H103" s="376">
        <f t="shared" si="81"/>
        <v>1.6617340689370125E-4</v>
      </c>
      <c r="I103" s="376">
        <f t="shared" si="82"/>
        <v>1.1610396902256198E-4</v>
      </c>
      <c r="J103" s="377">
        <f t="shared" si="83"/>
        <v>1.0538279914598599E-4</v>
      </c>
      <c r="M103" s="364"/>
      <c r="N103" s="258"/>
      <c r="O103" s="334"/>
      <c r="P103" s="334"/>
      <c r="Q103" s="365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4"/>
      <c r="AE103" s="334"/>
      <c r="AF103" s="334"/>
      <c r="AG103" s="334"/>
      <c r="AH103" s="334"/>
      <c r="AI103" s="334"/>
      <c r="AJ103" s="334"/>
      <c r="AK103" s="334"/>
      <c r="AL103" s="334"/>
      <c r="AM103" s="334"/>
      <c r="AN103" s="41"/>
      <c r="AO103" s="41"/>
      <c r="AP103" s="41"/>
      <c r="AQ103" s="8"/>
      <c r="AR103" s="8"/>
      <c r="AS103" s="8"/>
      <c r="AT103" s="259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hidden="1" x14ac:dyDescent="0.3">
      <c r="C104" s="357">
        <v>25</v>
      </c>
      <c r="D104" s="357">
        <v>4</v>
      </c>
      <c r="E104" s="357">
        <v>10</v>
      </c>
      <c r="F104" s="374">
        <v>-1.4341729937923999E-13</v>
      </c>
      <c r="G104" s="375"/>
      <c r="H104" s="376">
        <f t="shared" si="81"/>
        <v>1.0309206526252413E-6</v>
      </c>
      <c r="I104" s="376">
        <f t="shared" si="82"/>
        <v>6.3815673985494293E-6</v>
      </c>
      <c r="J104" s="377">
        <f t="shared" si="83"/>
        <v>9.6039086069900576E-6</v>
      </c>
      <c r="M104" s="364"/>
      <c r="N104" s="258"/>
      <c r="O104" s="334"/>
      <c r="P104" s="334"/>
      <c r="Q104" s="365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334"/>
      <c r="AC104" s="334"/>
      <c r="AD104" s="334"/>
      <c r="AE104" s="334"/>
      <c r="AF104" s="334"/>
      <c r="AG104" s="334"/>
      <c r="AH104" s="334"/>
      <c r="AI104" s="334"/>
      <c r="AJ104" s="334"/>
      <c r="AK104" s="334"/>
      <c r="AL104" s="334"/>
      <c r="AM104" s="334"/>
      <c r="AN104" s="41"/>
      <c r="AO104" s="41"/>
      <c r="AP104" s="41"/>
      <c r="AR104" s="8"/>
      <c r="AS104" s="8"/>
      <c r="AT104" s="259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hidden="1" x14ac:dyDescent="0.3">
      <c r="C105" s="357">
        <v>26</v>
      </c>
      <c r="D105" s="357">
        <v>5</v>
      </c>
      <c r="E105" s="357">
        <v>-8</v>
      </c>
      <c r="F105" s="374">
        <v>-4.0516996860117E-7</v>
      </c>
      <c r="G105" s="375"/>
      <c r="H105" s="376">
        <f t="shared" si="81"/>
        <v>5.4288089586135179E-6</v>
      </c>
      <c r="I105" s="376">
        <f t="shared" si="82"/>
        <v>1.2764718674668421E-6</v>
      </c>
      <c r="J105" s="377">
        <f t="shared" si="83"/>
        <v>8.9600209231425869E-7</v>
      </c>
      <c r="M105" s="364"/>
      <c r="N105" s="258"/>
      <c r="O105" s="334"/>
      <c r="P105" s="334"/>
      <c r="Q105" s="365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41"/>
      <c r="AO105" s="41"/>
      <c r="AP105" s="41"/>
    </row>
    <row r="106" spans="3:55" hidden="1" x14ac:dyDescent="0.3">
      <c r="C106" s="357">
        <v>27</v>
      </c>
      <c r="D106" s="357">
        <v>8</v>
      </c>
      <c r="E106" s="357">
        <v>-11</v>
      </c>
      <c r="F106" s="374">
        <v>-1.2734301741640999E-9</v>
      </c>
      <c r="G106" s="375"/>
      <c r="H106" s="376">
        <f t="shared" si="81"/>
        <v>7.4090908807171321E-7</v>
      </c>
      <c r="I106" s="376">
        <f t="shared" si="82"/>
        <v>1.0148591499429698E-7</v>
      </c>
      <c r="J106" s="377">
        <f t="shared" si="83"/>
        <v>6.1990676884454166E-8</v>
      </c>
      <c r="M106" s="364"/>
      <c r="N106" s="258"/>
      <c r="O106" s="334"/>
      <c r="P106" s="334"/>
      <c r="Q106" s="365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4"/>
      <c r="AH106" s="334"/>
      <c r="AI106" s="334"/>
      <c r="AJ106" s="334"/>
      <c r="AK106" s="334"/>
      <c r="AL106" s="334"/>
      <c r="AM106" s="334"/>
      <c r="AN106" s="41"/>
      <c r="AO106" s="41"/>
      <c r="AP106" s="41"/>
    </row>
    <row r="107" spans="3:55" hidden="1" x14ac:dyDescent="0.3">
      <c r="C107" s="357">
        <v>28</v>
      </c>
      <c r="D107" s="357">
        <v>8</v>
      </c>
      <c r="E107" s="357">
        <v>-6</v>
      </c>
      <c r="F107" s="374">
        <v>-1.7424871230634001E-10</v>
      </c>
      <c r="G107" s="375"/>
      <c r="H107" s="376">
        <f t="shared" si="81"/>
        <v>7.2472829174989996E-6</v>
      </c>
      <c r="I107" s="376">
        <f t="shared" si="82"/>
        <v>2.4636157546215822E-6</v>
      </c>
      <c r="J107" s="377">
        <f t="shared" si="83"/>
        <v>1.8577734157537869E-6</v>
      </c>
      <c r="M107" s="364"/>
      <c r="N107" s="258"/>
      <c r="O107" s="334"/>
      <c r="P107" s="334"/>
      <c r="Q107" s="365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  <c r="AH107" s="334"/>
      <c r="AI107" s="334"/>
      <c r="AJ107" s="334"/>
      <c r="AK107" s="334"/>
      <c r="AL107" s="334"/>
      <c r="AM107" s="334"/>
      <c r="AN107" s="41"/>
      <c r="AO107" s="41"/>
      <c r="AP107" s="41"/>
    </row>
    <row r="108" spans="3:55" hidden="1" x14ac:dyDescent="0.3">
      <c r="C108" s="357">
        <v>29</v>
      </c>
      <c r="D108" s="357">
        <v>21</v>
      </c>
      <c r="E108" s="357">
        <v>-29</v>
      </c>
      <c r="F108" s="374">
        <v>-6.8762131295530996E-19</v>
      </c>
      <c r="G108" s="375"/>
      <c r="H108" s="376">
        <f t="shared" si="81"/>
        <v>2.3951352037977568E-11</v>
      </c>
      <c r="I108" s="376">
        <f t="shared" si="82"/>
        <v>1.2715360397456955E-13</v>
      </c>
      <c r="J108" s="377">
        <f t="shared" si="83"/>
        <v>3.4444169389932308E-14</v>
      </c>
      <c r="M108" s="364"/>
      <c r="N108" s="258"/>
      <c r="O108" s="334"/>
      <c r="P108" s="334"/>
      <c r="Q108" s="365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  <c r="AH108" s="334"/>
      <c r="AI108" s="334"/>
      <c r="AJ108" s="334"/>
      <c r="AK108" s="334"/>
      <c r="AL108" s="334"/>
      <c r="AM108" s="334"/>
      <c r="AN108" s="41"/>
      <c r="AO108" s="41"/>
      <c r="AP108" s="41"/>
    </row>
    <row r="109" spans="3:55" hidden="1" x14ac:dyDescent="0.3">
      <c r="C109" s="357">
        <v>30</v>
      </c>
      <c r="D109" s="357">
        <v>23</v>
      </c>
      <c r="E109" s="357">
        <v>-31</v>
      </c>
      <c r="F109" s="374">
        <v>1.4478307828521001E-20</v>
      </c>
      <c r="G109" s="375"/>
      <c r="H109" s="376">
        <f t="shared" si="81"/>
        <v>-4.9881791950171773E-12</v>
      </c>
      <c r="I109" s="376">
        <f t="shared" si="82"/>
        <v>-1.8471271592683196E-14</v>
      </c>
      <c r="J109" s="377">
        <f t="shared" si="83"/>
        <v>-4.5607092886587677E-15</v>
      </c>
      <c r="M109" s="364"/>
      <c r="N109" s="258"/>
      <c r="O109" s="334"/>
      <c r="P109" s="334"/>
      <c r="Q109" s="365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4"/>
      <c r="AH109" s="334"/>
      <c r="AI109" s="334"/>
      <c r="AJ109" s="334"/>
      <c r="AK109" s="334"/>
      <c r="AL109" s="334"/>
      <c r="AM109" s="334"/>
      <c r="AN109" s="41"/>
      <c r="AO109" s="41"/>
      <c r="AP109" s="41"/>
    </row>
    <row r="110" spans="3:55" hidden="1" x14ac:dyDescent="0.3">
      <c r="C110" s="357">
        <v>31</v>
      </c>
      <c r="D110" s="357">
        <v>29</v>
      </c>
      <c r="E110" s="357">
        <v>-38</v>
      </c>
      <c r="F110" s="374">
        <v>2.6335781662795E-23</v>
      </c>
      <c r="G110" s="375"/>
      <c r="H110" s="376">
        <f t="shared" si="81"/>
        <v>-3.5875868904865739E-12</v>
      </c>
      <c r="I110" s="376">
        <f t="shared" si="82"/>
        <v>-3.7590154980877989E-15</v>
      </c>
      <c r="J110" s="377">
        <f t="shared" si="83"/>
        <v>-6.7383806553744844E-16</v>
      </c>
      <c r="M110" s="364"/>
      <c r="N110" s="258"/>
      <c r="O110" s="334"/>
      <c r="P110" s="334"/>
      <c r="Q110" s="365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  <c r="AH110" s="334"/>
      <c r="AI110" s="334"/>
      <c r="AJ110" s="334"/>
      <c r="AK110" s="334"/>
      <c r="AL110" s="334"/>
      <c r="AM110" s="334"/>
      <c r="AN110" s="41"/>
      <c r="AO110" s="41"/>
      <c r="AP110" s="41"/>
    </row>
    <row r="111" spans="3:55" hidden="1" x14ac:dyDescent="0.3">
      <c r="C111" s="357">
        <v>32</v>
      </c>
      <c r="D111" s="357">
        <v>30</v>
      </c>
      <c r="E111" s="357">
        <v>-39</v>
      </c>
      <c r="F111" s="374">
        <v>-1.1947622640071E-23</v>
      </c>
      <c r="G111" s="375"/>
      <c r="H111" s="376">
        <f t="shared" si="81"/>
        <v>5.0597430971437439E-12</v>
      </c>
      <c r="I111" s="376">
        <f t="shared" si="82"/>
        <v>4.427700210861992E-15</v>
      </c>
      <c r="J111" s="377">
        <f t="shared" si="83"/>
        <v>7.5776389671741152E-16</v>
      </c>
      <c r="M111" s="364"/>
      <c r="N111" s="258"/>
      <c r="O111" s="334"/>
      <c r="P111" s="334"/>
      <c r="Q111" s="365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  <c r="AH111" s="334"/>
      <c r="AI111" s="334"/>
      <c r="AJ111" s="334"/>
      <c r="AK111" s="334"/>
      <c r="AL111" s="334"/>
      <c r="AM111" s="334"/>
      <c r="AN111" s="41"/>
      <c r="AO111" s="41"/>
      <c r="AP111" s="41"/>
    </row>
    <row r="112" spans="3:55" hidden="1" x14ac:dyDescent="0.3">
      <c r="C112" s="357">
        <v>33</v>
      </c>
      <c r="D112" s="357">
        <v>31</v>
      </c>
      <c r="E112" s="357">
        <v>-40</v>
      </c>
      <c r="F112" s="374">
        <v>1.8228094581404E-24</v>
      </c>
      <c r="G112" s="375"/>
      <c r="H112" s="376">
        <f t="shared" si="81"/>
        <v>-2.3971553461865758E-12</v>
      </c>
      <c r="I112" s="376">
        <f t="shared" si="82"/>
        <v>-1.7519591450029639E-15</v>
      </c>
      <c r="J112" s="377">
        <f t="shared" si="83"/>
        <v>-2.8625557450329797E-16</v>
      </c>
      <c r="M112" s="364"/>
      <c r="N112" s="258"/>
      <c r="O112" s="334"/>
      <c r="P112" s="334"/>
      <c r="Q112" s="365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  <c r="AH112" s="334"/>
      <c r="AI112" s="334"/>
      <c r="AJ112" s="334"/>
      <c r="AK112" s="334"/>
      <c r="AL112" s="334"/>
      <c r="AM112" s="334"/>
      <c r="AN112" s="41"/>
      <c r="AO112" s="41"/>
      <c r="AP112" s="41"/>
    </row>
    <row r="113" spans="3:42" hidden="1" x14ac:dyDescent="0.3">
      <c r="C113" s="357">
        <v>34</v>
      </c>
      <c r="D113" s="357">
        <v>32</v>
      </c>
      <c r="E113" s="357">
        <v>-41</v>
      </c>
      <c r="F113" s="374">
        <v>-9.3537087292457998E-26</v>
      </c>
      <c r="G113" s="375"/>
      <c r="H113" s="376">
        <f t="shared" si="81"/>
        <v>3.8158784250722162E-13</v>
      </c>
      <c r="I113" s="376">
        <f t="shared" si="82"/>
        <v>2.3291656597313538E-16</v>
      </c>
      <c r="J113" s="377">
        <f t="shared" si="83"/>
        <v>3.6333282347268422E-17</v>
      </c>
      <c r="M113" s="364"/>
      <c r="N113" s="258"/>
      <c r="O113" s="334"/>
      <c r="P113" s="334"/>
      <c r="Q113" s="365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  <c r="AH113" s="334"/>
      <c r="AI113" s="334"/>
      <c r="AJ113" s="334"/>
      <c r="AK113" s="334"/>
      <c r="AL113" s="334"/>
      <c r="AM113" s="334"/>
      <c r="AN113" s="41"/>
      <c r="AO113" s="41"/>
      <c r="AP113" s="41"/>
    </row>
    <row r="114" spans="3:42" hidden="1" x14ac:dyDescent="0.3">
      <c r="C114" s="375"/>
      <c r="D114" s="375"/>
      <c r="E114" s="378" t="s">
        <v>151</v>
      </c>
      <c r="F114" s="6">
        <v>0.46152599999999999</v>
      </c>
      <c r="G114" s="375"/>
      <c r="H114" s="379">
        <f>SUM(H88:H113)</f>
        <v>9.7403164375367515E-2</v>
      </c>
      <c r="I114" s="379">
        <f>SUM(I88:I113)</f>
        <v>0.10672737641380697</v>
      </c>
      <c r="J114" s="380">
        <f>SUM(J88:J113)</f>
        <v>0.10930025286093273</v>
      </c>
      <c r="M114" s="364"/>
      <c r="N114" s="258"/>
      <c r="O114" s="334"/>
      <c r="P114" s="334"/>
      <c r="Q114" s="365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  <c r="AI114" s="334"/>
      <c r="AJ114" s="334"/>
      <c r="AK114" s="334"/>
      <c r="AL114" s="334"/>
      <c r="AM114" s="334"/>
      <c r="AN114" s="41"/>
      <c r="AO114" s="41"/>
      <c r="AP114" s="41"/>
    </row>
    <row r="115" spans="3:42" hidden="1" x14ac:dyDescent="0.3">
      <c r="M115" s="364"/>
      <c r="N115" s="258"/>
      <c r="O115" s="334"/>
      <c r="P115" s="334"/>
      <c r="Q115" s="365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4"/>
      <c r="AL115" s="334"/>
      <c r="AM115" s="334"/>
      <c r="AN115" s="41"/>
      <c r="AO115" s="41"/>
      <c r="AP115" s="41"/>
    </row>
    <row r="116" spans="3:42" hidden="1" x14ac:dyDescent="0.3">
      <c r="M116" s="350"/>
      <c r="N116" s="351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  <c r="AH116" s="334"/>
      <c r="AI116" s="334"/>
      <c r="AJ116" s="334"/>
      <c r="AK116" s="334"/>
      <c r="AL116" s="334"/>
      <c r="AM116" s="334"/>
      <c r="AN116" s="41"/>
      <c r="AO116" s="41"/>
      <c r="AP116" s="41"/>
    </row>
    <row r="117" spans="3:42" hidden="1" x14ac:dyDescent="0.3">
      <c r="M117" s="259"/>
      <c r="N117" s="345"/>
      <c r="O117" s="258"/>
      <c r="P117" s="41"/>
      <c r="Q117" s="41"/>
      <c r="R117" s="41"/>
      <c r="S117" s="41"/>
      <c r="T117" s="41"/>
      <c r="U117" s="258"/>
      <c r="V117" s="41"/>
      <c r="W117" s="41"/>
      <c r="X117" s="41"/>
      <c r="Y117" s="41"/>
      <c r="Z117" s="41"/>
      <c r="AA117" s="258"/>
      <c r="AB117" s="41"/>
      <c r="AC117" s="41"/>
      <c r="AD117" s="41"/>
      <c r="AE117" s="41"/>
      <c r="AF117" s="41"/>
      <c r="AG117" s="258"/>
      <c r="AH117" s="41"/>
      <c r="AI117" s="41"/>
      <c r="AJ117" s="41"/>
      <c r="AK117" s="41"/>
      <c r="AL117" s="41"/>
      <c r="AM117" s="41"/>
      <c r="AN117" s="41"/>
      <c r="AO117" s="41"/>
      <c r="AP117" s="41"/>
    </row>
    <row r="118" spans="3:42" hidden="1" x14ac:dyDescent="0.3">
      <c r="M118" s="346"/>
      <c r="N118" s="345"/>
      <c r="O118" s="258"/>
      <c r="P118" s="41"/>
      <c r="Q118" s="41"/>
      <c r="R118" s="41"/>
      <c r="S118" s="41"/>
      <c r="T118" s="41"/>
      <c r="U118" s="258"/>
      <c r="V118" s="41"/>
      <c r="W118" s="41"/>
      <c r="X118" s="41"/>
      <c r="Y118" s="41"/>
      <c r="Z118" s="41"/>
      <c r="AA118" s="258"/>
      <c r="AB118" s="41"/>
      <c r="AC118" s="41"/>
      <c r="AD118" s="41"/>
      <c r="AE118" s="41"/>
      <c r="AF118" s="41"/>
      <c r="AG118" s="258"/>
      <c r="AH118" s="41"/>
      <c r="AI118" s="41"/>
      <c r="AJ118" s="41"/>
      <c r="AK118" s="41"/>
      <c r="AL118" s="41"/>
      <c r="AM118" s="41"/>
      <c r="AN118" s="41"/>
      <c r="AO118" s="41"/>
      <c r="AP118" s="41"/>
    </row>
    <row r="119" spans="3:42" hidden="1" x14ac:dyDescent="0.3">
      <c r="M119" s="41"/>
      <c r="N119" s="34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258"/>
      <c r="AO119" s="258"/>
      <c r="AP119" s="349"/>
    </row>
    <row r="120" spans="3:42" ht="15" hidden="1" x14ac:dyDescent="0.3">
      <c r="M120" s="350"/>
      <c r="N120" s="37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</row>
    <row r="121" spans="3:42" ht="15" hidden="1" x14ac:dyDescent="0.3">
      <c r="M121" s="351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</row>
    <row r="122" spans="3:42" ht="15" hidden="1" x14ac:dyDescent="0.3">
      <c r="M122" s="351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</row>
    <row r="123" spans="3:42" ht="15.45" hidden="1" x14ac:dyDescent="0.3">
      <c r="M123" s="351"/>
      <c r="N123" s="38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3:42" ht="15" hidden="1" x14ac:dyDescent="0.3">
      <c r="M124" s="350"/>
      <c r="N124" s="37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</row>
    <row r="125" spans="3:42" ht="15" x14ac:dyDescent="0.3">
      <c r="M125" s="258"/>
      <c r="N125" s="37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</row>
    <row r="126" spans="3:42" ht="15.45" x14ac:dyDescent="0.3">
      <c r="M126" s="353"/>
      <c r="N126" s="3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</row>
    <row r="127" spans="3:42" ht="15.45" x14ac:dyDescent="0.3">
      <c r="M127" s="41"/>
      <c r="N127" s="40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</row>
    <row r="128" spans="3:42" ht="15.45" x14ac:dyDescent="0.3">
      <c r="M128" s="41"/>
      <c r="N128" s="40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</row>
    <row r="129" spans="13:42" ht="15.45" x14ac:dyDescent="0.3">
      <c r="M129" s="41"/>
      <c r="N129" s="37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spans="13:42" ht="15" x14ac:dyDescent="0.3">
      <c r="M130" s="350"/>
      <c r="N130" s="19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</row>
    <row r="131" spans="13:42" ht="15" x14ac:dyDescent="0.3">
      <c r="M131" s="8"/>
      <c r="N131" s="20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</row>
    <row r="132" spans="13:42" ht="15" x14ac:dyDescent="0.3"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</row>
    <row r="133" spans="13:42" ht="15.45" x14ac:dyDescent="0.3"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spans="13:42" x14ac:dyDescent="0.3"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13:42" x14ac:dyDescent="0.3"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13:42" x14ac:dyDescent="0.3"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</sheetData>
  <sheetProtection algorithmName="SHA-512" hashValue="kqf2TBRR/Lsjdqsnw+3K0rs0TXOa2LguKhQVVsqVgNgJpLelYVj8XYva8VqAuYhes/iW6N+9oB27k85amIGmrQ==" saltValue="97iEQIbXJG6Mw/behqZKKg==" spinCount="100000" sheet="1" objects="1" scenarios="1"/>
  <customSheetViews>
    <customSheetView guid="{AAE00E0F-58A4-431B-A945-2FAABDFF301E}" scale="70" showGridLines="0" fitToPage="1" hiddenRows="1" hiddenColumns="1">
      <selection activeCell="D25" sqref="D25"/>
      <pageMargins left="0.75" right="0.75" top="1" bottom="1" header="0.5" footer="0.5"/>
      <pageSetup paperSize="9" scale="52" orientation="portrait" verticalDpi="0" r:id="rId1"/>
      <headerFooter alignWithMargins="0"/>
    </customSheetView>
  </customSheetViews>
  <mergeCells count="34">
    <mergeCell ref="B41:D41"/>
    <mergeCell ref="B37:C37"/>
    <mergeCell ref="B2:E2"/>
    <mergeCell ref="B29:C29"/>
    <mergeCell ref="B30:C30"/>
    <mergeCell ref="D28:E28"/>
    <mergeCell ref="B31:C31"/>
    <mergeCell ref="C4:E4"/>
    <mergeCell ref="C5:E5"/>
    <mergeCell ref="C6:E6"/>
    <mergeCell ref="B39:C39"/>
    <mergeCell ref="B32:C32"/>
    <mergeCell ref="B33:C33"/>
    <mergeCell ref="B25:D25"/>
    <mergeCell ref="E25:G25"/>
    <mergeCell ref="AK28:AM28"/>
    <mergeCell ref="AQ28:AR28"/>
    <mergeCell ref="B36:C36"/>
    <mergeCell ref="Z28:AA28"/>
    <mergeCell ref="AG28:AI28"/>
    <mergeCell ref="AK2:AM2"/>
    <mergeCell ref="AQ2:AR2"/>
    <mergeCell ref="Z15:AA15"/>
    <mergeCell ref="AG15:AI15"/>
    <mergeCell ref="AK15:AM15"/>
    <mergeCell ref="AQ15:AR15"/>
    <mergeCell ref="AG1:AH1"/>
    <mergeCell ref="Z2:AA2"/>
    <mergeCell ref="AG2:AI2"/>
    <mergeCell ref="B38:C38"/>
    <mergeCell ref="B35:D35"/>
    <mergeCell ref="B27:D27"/>
    <mergeCell ref="D29:E29"/>
    <mergeCell ref="D30:E30"/>
  </mergeCells>
  <phoneticPr fontId="2" type="noConversion"/>
  <conditionalFormatting sqref="G50">
    <cfRule type="cellIs" dxfId="45" priority="9" stopIfTrue="1" operator="greaterThan">
      <formula>3</formula>
    </cfRule>
  </conditionalFormatting>
  <conditionalFormatting sqref="D50:E50">
    <cfRule type="cellIs" dxfId="44" priority="10" stopIfTrue="1" operator="greaterThan">
      <formula>3</formula>
    </cfRule>
  </conditionalFormatting>
  <conditionalFormatting sqref="AM40">
    <cfRule type="cellIs" dxfId="43" priority="8" stopIfTrue="1" operator="equal">
      <formula>TRUE</formula>
    </cfRule>
  </conditionalFormatting>
  <conditionalFormatting sqref="AK4:AM13 AO4:AP13">
    <cfRule type="cellIs" dxfId="42" priority="6" stopIfTrue="1" operator="equal">
      <formula>TRUE</formula>
    </cfRule>
  </conditionalFormatting>
  <conditionalFormatting sqref="AK17:AM26">
    <cfRule type="cellIs" dxfId="41" priority="5" stopIfTrue="1" operator="equal">
      <formula>TRUE</formula>
    </cfRule>
  </conditionalFormatting>
  <conditionalFormatting sqref="AK30:AM39">
    <cfRule type="cellIs" dxfId="40" priority="3" stopIfTrue="1" operator="equal">
      <formula>TRUE</formula>
    </cfRule>
  </conditionalFormatting>
  <conditionalFormatting sqref="AO17:AP26">
    <cfRule type="cellIs" dxfId="39" priority="2" stopIfTrue="1" operator="equal">
      <formula>TRUE</formula>
    </cfRule>
  </conditionalFormatting>
  <conditionalFormatting sqref="AO30:AP39">
    <cfRule type="cellIs" dxfId="38" priority="1" stopIfTrue="1" operator="equal">
      <formula>TRUE</formula>
    </cfRule>
  </conditionalFormatting>
  <dataValidations count="4">
    <dataValidation type="list" allowBlank="1" showInputMessage="1" showErrorMessage="1" sqref="G30" xr:uid="{00000000-0002-0000-0300-000000000000}">
      <formula1>TemperGVS</formula1>
    </dataValidation>
    <dataValidation type="list" allowBlank="1" showInputMessage="1" showErrorMessage="1" sqref="D30" xr:uid="{00000000-0002-0000-0300-000001000000}">
      <formula1>Grafik</formula1>
    </dataValidation>
    <dataValidation type="list" allowBlank="1" showInputMessage="1" showErrorMessage="1" sqref="G32 D32:E32" xr:uid="{00000000-0002-0000-0300-000002000000}">
      <formula1>Control_DU_Tr</formula1>
    </dataValidation>
    <dataValidation type="list" allowBlank="1" showInputMessage="1" showErrorMessage="1" sqref="E25" xr:uid="{ED1E36BA-B870-458B-B848-B7EF1E2FECE1}">
      <formula1>Метод_подбора</formula1>
    </dataValidation>
  </dataValidations>
  <pageMargins left="0.25" right="0.25" top="0.75" bottom="0.75" header="0.3" footer="0.3"/>
  <pageSetup paperSize="9" scale="62" fitToHeight="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rgb="FFFF3399"/>
    <pageSetUpPr fitToPage="1"/>
  </sheetPr>
  <dimension ref="B1:BC180"/>
  <sheetViews>
    <sheetView showGridLines="0" showRowColHeaders="0" zoomScale="85" zoomScaleNormal="85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5.69140625" style="6" customWidth="1"/>
    <col min="7" max="8" width="18.69140625" style="6" customWidth="1"/>
    <col min="9" max="10" width="10.69140625" style="6" customWidth="1"/>
    <col min="11" max="11" width="10.69140625" style="6" hidden="1" customWidth="1"/>
    <col min="12" max="12" width="18.69140625" style="6" hidden="1" customWidth="1"/>
    <col min="13" max="18" width="12.69140625" style="6" hidden="1" customWidth="1"/>
    <col min="19" max="19" width="14.30468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2.3046875" style="6" hidden="1" customWidth="1"/>
    <col min="45" max="45" width="13.69140625" style="6" hidden="1" customWidth="1"/>
    <col min="46" max="46" width="4.53515625" style="6" hidden="1" customWidth="1"/>
    <col min="47" max="47" width="2.3046875" style="6" hidden="1" customWidth="1"/>
    <col min="48" max="48" width="5.3828125" style="6" hidden="1" customWidth="1"/>
    <col min="49" max="51" width="13.3828125" style="6" hidden="1" customWidth="1"/>
    <col min="52" max="54" width="13.3828125" style="6" customWidth="1"/>
    <col min="55" max="16384" width="9.15234375" style="6"/>
  </cols>
  <sheetData>
    <row r="1" spans="2:55" ht="18" customHeight="1" thickBot="1" x14ac:dyDescent="0.35"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259"/>
      <c r="AU1" s="41"/>
      <c r="AV1" s="41"/>
      <c r="AW1" s="41"/>
      <c r="AX1" s="41"/>
      <c r="AY1" s="41"/>
      <c r="AZ1" s="41"/>
      <c r="BA1" s="41"/>
      <c r="BB1" s="41"/>
      <c r="BC1" s="41"/>
    </row>
    <row r="2" spans="2:55" ht="18" customHeight="1" thickBot="1" x14ac:dyDescent="0.55000000000000004">
      <c r="B2" s="827" t="s">
        <v>393</v>
      </c>
      <c r="C2" s="827"/>
      <c r="D2" s="827"/>
      <c r="E2" s="827"/>
      <c r="F2" s="260"/>
      <c r="G2" s="261"/>
      <c r="N2" s="262"/>
      <c r="O2" s="263" t="s">
        <v>406</v>
      </c>
      <c r="P2" s="264">
        <f>MATCH(M6,DyTr_New,0)</f>
        <v>29</v>
      </c>
      <c r="Q2" s="265">
        <f ca="1">MATCH(TRUE,AO4:AO13,0)</f>
        <v>3</v>
      </c>
      <c r="R2" s="266" t="s">
        <v>103</v>
      </c>
      <c r="S2" s="267"/>
      <c r="U2" s="268">
        <f ca="1">MATCH(TRUE,AO4:AO13,0)</f>
        <v>3</v>
      </c>
      <c r="V2" s="269" t="s">
        <v>407</v>
      </c>
      <c r="W2" s="270"/>
      <c r="X2" s="270"/>
      <c r="Y2" s="270"/>
      <c r="Z2" s="813" t="s">
        <v>206</v>
      </c>
      <c r="AA2" s="813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>
        <f ca="1">MATCH(TRUE,AO4:AO13,0)</f>
        <v>3</v>
      </c>
      <c r="AP2" s="273">
        <f ca="1">MATCH(TRUE,AP4:AP13,0)</f>
        <v>3</v>
      </c>
      <c r="AQ2" s="802" t="s">
        <v>69</v>
      </c>
      <c r="AR2" s="803"/>
      <c r="AS2" s="259"/>
      <c r="AT2" s="259"/>
      <c r="AU2" s="41"/>
      <c r="AV2" s="41"/>
      <c r="AW2" s="41"/>
      <c r="AX2" s="41"/>
      <c r="AY2" s="41"/>
      <c r="AZ2" s="41"/>
      <c r="BA2" s="41"/>
      <c r="BB2" s="41"/>
      <c r="BC2" s="41"/>
    </row>
    <row r="3" spans="2:55" ht="18" customHeight="1" x14ac:dyDescent="0.3">
      <c r="B3" s="274"/>
      <c r="C3" s="274"/>
      <c r="D3" s="275"/>
      <c r="E3" s="274"/>
      <c r="F3" s="276"/>
      <c r="G3" s="276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IF(ISERROR(AO2),IF(ISERROR(AP2),"НЕТ",OFFSET(Q4,AP2-1,0,1)&amp;"-"&amp;OFFSET(AN4,AP2-1,0,1)&amp;"-Фланец"),OFFSET(Q4,AO2-1,0,1)&amp;"-"&amp;OFFSET(AN4,AO2-1,0,1)&amp;"-Cэндвич")</f>
        <v>ПРЭМ-50-D-Cэндвич</v>
      </c>
      <c r="AT3" s="284" t="str">
        <f ca="1">IF(ISERROR(AO2),IF(ISERROR(AP2),"НЕТ",OFFSET(Q4,AP2-1,0,1)&amp;"-"&amp;OFFSET(AN4,AP2-1,0,1)),OFFSET(Q4,AO2-1,0,1)&amp;"-"&amp;OFFSET(AN4,AO2-1,0,1))</f>
        <v>ПРЭМ-50-D</v>
      </c>
      <c r="AU3" s="41"/>
      <c r="AV3" s="41"/>
      <c r="AW3" s="41"/>
      <c r="AX3" s="41"/>
      <c r="AY3" s="41"/>
      <c r="AZ3" s="41"/>
      <c r="BA3" s="41"/>
      <c r="BB3" s="41"/>
      <c r="BC3" s="41"/>
    </row>
    <row r="4" spans="2:55" ht="18" customHeight="1" x14ac:dyDescent="0.3">
      <c r="B4" s="285" t="s">
        <v>117</v>
      </c>
      <c r="C4" s="788"/>
      <c r="D4" s="789"/>
      <c r="E4" s="790"/>
      <c r="F4" s="286"/>
      <c r="G4" s="286"/>
      <c r="L4" s="287" t="s">
        <v>74</v>
      </c>
      <c r="M4" s="288">
        <v>0.5</v>
      </c>
      <c r="N4" s="88">
        <f ca="1">OFFSET(DyTr_New,P2-1,1,1)</f>
        <v>5</v>
      </c>
      <c r="O4" s="88">
        <v>1</v>
      </c>
      <c r="P4" s="93" t="str">
        <f ca="1">IF(O4&lt;=$N$4,OFFSET(DyTr_New,$P$2-2+O4,4,1),"---")</f>
        <v>32-80</v>
      </c>
      <c r="Q4" s="93" t="str">
        <f t="shared" ref="Q4:Q13" ca="1" si="0">IF(O4&lt;=$N$4,OFFSET(DyTr_New,$P$2-2+O4,2,1),"---")</f>
        <v>ПРЭМ-32</v>
      </c>
      <c r="R4" s="93">
        <f t="shared" ref="R4:R13" ca="1" si="1">IF(O4&lt;=$N$4,OFFSET(DyTr_New,$P$2-2+O4,5,1),"---")</f>
        <v>32</v>
      </c>
      <c r="S4" s="93" t="str">
        <f t="shared" ref="S4:S13" ca="1" si="2">IF(O4&lt;=$N$4,OFFSET(DyTr_New,$P$2-2+O4,6,1),"---")</f>
        <v>24,62</v>
      </c>
      <c r="T4" s="93">
        <f t="shared" ref="T4:T13" ca="1" si="3">IF(O4&lt;=$N$4,($M$7/3.6)/((PI()*R4^2)/4000),"---")</f>
        <v>7.2994589024535017</v>
      </c>
      <c r="U4" s="289">
        <f t="shared" ref="U4:U13" ca="1" si="4">IF(O4&lt;=$N$4,(T4*R4/$M$9/1000),"---")</f>
        <v>1196245.1669011395</v>
      </c>
      <c r="V4" s="289">
        <f t="shared" ref="V4:V13" ca="1" si="5">IF(O4&lt;=$N$4,(1/(1.14+2*LOG((R4/$M$4),10))^2),"---")</f>
        <v>4.4277322004702871E-2</v>
      </c>
      <c r="W4" s="93">
        <f t="shared" ref="W4:W13" ca="1" si="6">IF(O4&lt;=$N$4,(IF(S4=0,0,(V4/(8*SIN(RADIANS(S4/2))))*(1-(R4/$M$6)^4))),"---")</f>
        <v>2.5295285226432103E-2</v>
      </c>
      <c r="X4" s="93">
        <f t="shared" ref="X4:X13" ca="1" si="7">IF(O4&lt;=$N$4,(3.2*TAN(RADIANS(S4/2))^1.25*(1-(R4/$M$6)^2)^2),"---")</f>
        <v>0.33676116779011345</v>
      </c>
      <c r="Y4" s="93">
        <f t="shared" ref="Y4:Y13" ca="1" si="8">IF(O4&lt;=$N$4,(IF(S4=0,0,V4/(8*SIN(RADIANS(S4/2)))*(1-(R4/$M$6)^4))),"---")</f>
        <v>2.5295285226432103E-2</v>
      </c>
      <c r="Z4" s="290">
        <f t="shared" ref="Z4:Z13" ca="1" si="9">IF(O4&lt;=$N$4,VLOOKUP(Q4&amp;"-Сэндвич",TypePFlow,3,FALSE),"---")</f>
        <v>0</v>
      </c>
      <c r="AA4" s="290">
        <f t="shared" ref="AA4:AA13" ca="1" si="10">IF(O4&lt;=$N$4,VLOOKUP(Q4&amp;"-Фланец",TypePFlow,3,FALSE),"---")</f>
        <v>0</v>
      </c>
      <c r="AB4" s="93">
        <f t="shared" ref="AB4:AB13" ca="1" si="11">IF(O4&lt;=$N$4,(V4*4+W4+X4+Y4)*T4^2/(2*9.81),"--")</f>
        <v>1.5329087155454555</v>
      </c>
      <c r="AC4" s="291">
        <f t="shared" ref="AC4:AC13" ca="1" si="12">IF(O4&lt;=$N$4,(Z4*$M$7^2),"--")</f>
        <v>0</v>
      </c>
      <c r="AD4" s="93">
        <f t="shared" ref="AD4:AD13" ca="1" si="13">IF(O4&lt;=$N$4,(AA4*$M$7^2),"--")</f>
        <v>0</v>
      </c>
      <c r="AE4" s="93">
        <f t="shared" ref="AE4:AE13" ca="1" si="14">IF(O4&lt;=$N$4,(AB4+AC4),"---")</f>
        <v>1.5329087155454555</v>
      </c>
      <c r="AF4" s="93">
        <f t="shared" ref="AF4:AF13" ca="1" si="15">IF(O4&lt;=$N$4,(AB4+AD4),"---")</f>
        <v>1.5329087155454555</v>
      </c>
      <c r="AG4" s="292">
        <f t="shared" ref="AG4:AG13" ca="1" si="16">IF(O4&lt;=$N$4,VLOOKUP(Q4&amp;"-D",ParamPiterflow,2,FALSE),"---")</f>
        <v>0.2</v>
      </c>
      <c r="AH4" s="292">
        <f t="shared" ref="AH4:AH13" ca="1" si="17">IF(O4&lt;=$N$4,VLOOKUP(Q4&amp;"-C1",ParamPiterflow,2,FALSE),"---")</f>
        <v>0.12</v>
      </c>
      <c r="AI4" s="292">
        <f t="shared" ref="AI4:AI13" ca="1" si="18">IF(O4&lt;=$N$4,VLOOKUP(Q4&amp;"-B1",ParamPiterflow,2,FALSE),"---")</f>
        <v>6.7000000000000004E-2</v>
      </c>
      <c r="AJ4" s="292">
        <f t="shared" ref="AJ4:AJ13" ca="1" si="19">IF(O4&lt;=$N$4,VLOOKUP(Q4&amp;"-D",ParamPiterflow,4,FALSE),"---")</f>
        <v>30</v>
      </c>
      <c r="AK4" s="293" t="b">
        <f t="shared" ref="AK4:AK13" ca="1" si="20">IF($O4&lt;=$N$4,AND(AG4&lt;$M$8,$AJ4&gt;$M$7),"---")</f>
        <v>1</v>
      </c>
      <c r="AL4" s="293" t="b">
        <f t="shared" ref="AL4:AL13" ca="1" si="21">IF($O4&lt;=$N$4,AND(AH4&lt;$M$8,$AJ4&gt;$M$7),"---")</f>
        <v>1</v>
      </c>
      <c r="AM4" s="293" t="b">
        <f t="shared" ref="AM4:AM13" ca="1" si="22">IF($O4&lt;=$N$4,AND(AI4&lt;$M$8,$AJ4&gt;$M$7),"---")</f>
        <v>1</v>
      </c>
      <c r="AN4" s="294" t="str">
        <f ca="1">IF($O4&lt;=$N$4,IF(AK4,"D",IF(AL4,"C1",IF(AM4,"B1","НЕТ"))),"---")</f>
        <v>D</v>
      </c>
      <c r="AO4" s="294" t="b">
        <f ca="1">IF($O4&lt;=$N$4,AND(AE4&lt;$M$5,NOT(AN4="НЕТ"),IF($F$25="Экономный",T4&lt;=3,IF(AND($F$25="Оптимальный",T4&gt;$D$50),T4&lt;=1.8,IF(AND($F$25="Затратный",T4&gt;$D$50),T4&lt;=1,T4&lt;=3)))),"---")</f>
        <v>0</v>
      </c>
      <c r="AP4" s="294" t="b">
        <f ca="1">IF($O4&lt;=$N$4,AND(AF4&lt;$M$5,NOT(AN4="НЕТ"),IF($F$25="Экономный",T4&lt;=3,IF(AND($F$25="Оптимальный",T4&gt;$D$50),T4&lt;=1.8,IF(AND($F$25="Затратный",T4&gt;$D$50),T4&lt;=1,T4&lt;=3)))),"---")</f>
        <v>0</v>
      </c>
      <c r="AQ4" s="295"/>
      <c r="AR4" s="296"/>
      <c r="AS4" s="259"/>
      <c r="AT4" s="259">
        <f ca="1">IF(ISERROR(AO2),IF(ISERROR(AP2),"НЕТ",AP2),AO2)</f>
        <v>3</v>
      </c>
      <c r="AU4" s="41"/>
      <c r="AV4" s="41"/>
      <c r="AW4" s="41"/>
      <c r="AX4" s="41"/>
      <c r="AY4" s="41"/>
      <c r="AZ4" s="41"/>
      <c r="BA4" s="41"/>
      <c r="BB4" s="41"/>
      <c r="BC4" s="41"/>
    </row>
    <row r="5" spans="2:55" ht="18" customHeight="1" x14ac:dyDescent="0.3">
      <c r="B5" s="8"/>
      <c r="C5" s="791"/>
      <c r="D5" s="792"/>
      <c r="E5" s="793"/>
      <c r="F5" s="276"/>
      <c r="G5" s="276"/>
      <c r="L5" s="297" t="s">
        <v>189</v>
      </c>
      <c r="M5" s="298">
        <f>D31</f>
        <v>0.5</v>
      </c>
      <c r="N5" s="88"/>
      <c r="O5" s="88">
        <v>2</v>
      </c>
      <c r="P5" s="93" t="str">
        <f t="shared" ref="P5:P10" ca="1" si="23">IF(O5&lt;=$N$4,OFFSET(DyTr_New,$P$2-2+O5,4,1),"---")</f>
        <v>40-80</v>
      </c>
      <c r="Q5" s="93" t="str">
        <f t="shared" ca="1" si="0"/>
        <v>ПРЭМ-40</v>
      </c>
      <c r="R5" s="93">
        <f t="shared" ca="1" si="1"/>
        <v>40</v>
      </c>
      <c r="S5" s="93" t="str">
        <f t="shared" ca="1" si="2"/>
        <v>34,2</v>
      </c>
      <c r="T5" s="93">
        <f t="shared" ca="1" si="3"/>
        <v>4.6716536975702416</v>
      </c>
      <c r="U5" s="289">
        <f t="shared" ca="1" si="4"/>
        <v>956996.13352091168</v>
      </c>
      <c r="V5" s="289">
        <f t="shared" ca="1" si="5"/>
        <v>4.0875226338606262E-2</v>
      </c>
      <c r="W5" s="93">
        <f t="shared" ca="1" si="6"/>
        <v>1.6290505673910789E-2</v>
      </c>
      <c r="X5" s="93">
        <f t="shared" ca="1" si="7"/>
        <v>0.41240726556644086</v>
      </c>
      <c r="Y5" s="93">
        <f t="shared" ca="1" si="8"/>
        <v>1.6290505673910789E-2</v>
      </c>
      <c r="Z5" s="290">
        <f t="shared" ca="1" si="9"/>
        <v>0</v>
      </c>
      <c r="AA5" s="290">
        <f t="shared" ca="1" si="10"/>
        <v>0</v>
      </c>
      <c r="AB5" s="93">
        <f t="shared" ca="1" si="11"/>
        <v>0.67685422183346344</v>
      </c>
      <c r="AC5" s="291">
        <f t="shared" ca="1" si="12"/>
        <v>0</v>
      </c>
      <c r="AD5" s="93">
        <f t="shared" ca="1" si="13"/>
        <v>0</v>
      </c>
      <c r="AE5" s="93">
        <f t="shared" ca="1" si="14"/>
        <v>0.67685422183346344</v>
      </c>
      <c r="AF5" s="93">
        <f t="shared" ca="1" si="15"/>
        <v>0.67685422183346344</v>
      </c>
      <c r="AG5" s="292">
        <f t="shared" ca="1" si="16"/>
        <v>0.3</v>
      </c>
      <c r="AH5" s="292">
        <f t="shared" ca="1" si="17"/>
        <v>0.18</v>
      </c>
      <c r="AI5" s="292">
        <f t="shared" ca="1" si="18"/>
        <v>0.1</v>
      </c>
      <c r="AJ5" s="292">
        <f t="shared" ca="1" si="19"/>
        <v>45</v>
      </c>
      <c r="AK5" s="293" t="b">
        <f t="shared" ca="1" si="20"/>
        <v>1</v>
      </c>
      <c r="AL5" s="293" t="b">
        <f t="shared" ca="1" si="21"/>
        <v>1</v>
      </c>
      <c r="AM5" s="293" t="b">
        <f t="shared" ca="1" si="22"/>
        <v>1</v>
      </c>
      <c r="AN5" s="294" t="str">
        <f t="shared" ref="AN5:AN13" ca="1" si="24">IF($O5&lt;=$N$4,IF(AK5,"D",IF(AL5,"C1",IF(AM5,"B1","НЕТ"))),"---")</f>
        <v>D</v>
      </c>
      <c r="AO5" s="294" t="b">
        <f t="shared" ref="AO5:AO13" ca="1" si="25">IF($O5&lt;=$N$4,AND(AE5&lt;$M$5,NOT(AN5="НЕТ"),IF($F$25="Экономный",T5&lt;=3,IF(AND($F$25="Оптимальный",T5&gt;$D$50),T5&lt;=1.8,IF(AND($F$25="Затратный",T5&gt;$D$50),T5&lt;=1,T5&lt;=3)))),"---")</f>
        <v>0</v>
      </c>
      <c r="AP5" s="294" t="b">
        <f t="shared" ref="AP5:AP13" ca="1" si="26">IF($O5&lt;=$N$4,AND(AF5&lt;$M$5,NOT(AN5="НЕТ"),IF($F$25="Экономный",T5&lt;=3,IF(AND($F$25="Оптимальный",T5&gt;$D$50),T5&lt;=1.8,IF(AND($F$25="Затратный",T5&gt;$D$50),T5&lt;=1,T5&lt;=3)))),"---")</f>
        <v>0</v>
      </c>
      <c r="AQ5" s="299" t="s">
        <v>18</v>
      </c>
      <c r="AR5" s="300">
        <f ca="1">OFFSET(T4,IF(ISERROR(AO2),IF(ISERROR(AP2),"НЕТ",AP2),AO2)-1,0,1)</f>
        <v>2.9898583664449547</v>
      </c>
      <c r="AS5" s="259"/>
      <c r="AT5" s="259"/>
      <c r="AU5" s="41"/>
      <c r="AV5" s="41"/>
      <c r="AW5" s="41"/>
      <c r="AX5" s="41"/>
      <c r="AY5" s="41"/>
      <c r="AZ5" s="41"/>
      <c r="BA5" s="41"/>
      <c r="BB5" s="41"/>
      <c r="BC5" s="41"/>
    </row>
    <row r="6" spans="2:55" ht="18" customHeight="1" x14ac:dyDescent="0.4">
      <c r="B6" s="274"/>
      <c r="C6" s="794"/>
      <c r="D6" s="795"/>
      <c r="E6" s="796"/>
      <c r="F6" s="301"/>
      <c r="G6" s="301"/>
      <c r="L6" s="302" t="s">
        <v>410</v>
      </c>
      <c r="M6" s="303">
        <f>$D$32</f>
        <v>80</v>
      </c>
      <c r="N6" s="88"/>
      <c r="O6" s="88">
        <v>3</v>
      </c>
      <c r="P6" s="93" t="str">
        <f t="shared" ca="1" si="23"/>
        <v>50-80</v>
      </c>
      <c r="Q6" s="93" t="str">
        <f t="shared" ca="1" si="0"/>
        <v>ПРЭМ-50</v>
      </c>
      <c r="R6" s="93">
        <f t="shared" ca="1" si="1"/>
        <v>50</v>
      </c>
      <c r="S6" s="93" t="str">
        <f t="shared" ca="1" si="2"/>
        <v>25,98</v>
      </c>
      <c r="T6" s="93">
        <f t="shared" ca="1" si="3"/>
        <v>2.9898583664449547</v>
      </c>
      <c r="U6" s="289">
        <f t="shared" ca="1" si="4"/>
        <v>765596.90681672934</v>
      </c>
      <c r="V6" s="289">
        <f t="shared" ca="1" si="5"/>
        <v>3.7850686611455138E-2</v>
      </c>
      <c r="W6" s="93">
        <f t="shared" ca="1" si="6"/>
        <v>1.7836878689553519E-2</v>
      </c>
      <c r="X6" s="93">
        <f t="shared" ca="1" si="7"/>
        <v>0.18997302592343249</v>
      </c>
      <c r="Y6" s="93">
        <f t="shared" ca="1" si="8"/>
        <v>1.7836878689553519E-2</v>
      </c>
      <c r="Z6" s="290">
        <f t="shared" ca="1" si="9"/>
        <v>0</v>
      </c>
      <c r="AA6" s="290">
        <f t="shared" ca="1" si="10"/>
        <v>0</v>
      </c>
      <c r="AB6" s="93">
        <f t="shared" ca="1" si="11"/>
        <v>0.17179108865098366</v>
      </c>
      <c r="AC6" s="291">
        <f t="shared" ca="1" si="12"/>
        <v>0</v>
      </c>
      <c r="AD6" s="93">
        <f t="shared" ca="1" si="13"/>
        <v>0</v>
      </c>
      <c r="AE6" s="93">
        <f t="shared" ca="1" si="14"/>
        <v>0.17179108865098366</v>
      </c>
      <c r="AF6" s="93">
        <f t="shared" ca="1" si="15"/>
        <v>0.17179108865098366</v>
      </c>
      <c r="AG6" s="292">
        <f t="shared" ca="1" si="16"/>
        <v>0.48</v>
      </c>
      <c r="AH6" s="292">
        <f t="shared" ca="1" si="17"/>
        <v>0.28799999999999998</v>
      </c>
      <c r="AI6" s="292">
        <f t="shared" ca="1" si="18"/>
        <v>0.16</v>
      </c>
      <c r="AJ6" s="292">
        <f t="shared" ca="1" si="19"/>
        <v>72</v>
      </c>
      <c r="AK6" s="293" t="b">
        <f t="shared" ca="1" si="20"/>
        <v>1</v>
      </c>
      <c r="AL6" s="293" t="b">
        <f t="shared" ca="1" si="21"/>
        <v>1</v>
      </c>
      <c r="AM6" s="293" t="b">
        <f t="shared" ca="1" si="22"/>
        <v>1</v>
      </c>
      <c r="AN6" s="294" t="str">
        <f t="shared" ca="1" si="24"/>
        <v>D</v>
      </c>
      <c r="AO6" s="294" t="b">
        <f t="shared" ca="1" si="25"/>
        <v>1</v>
      </c>
      <c r="AP6" s="294" t="b">
        <f t="shared" ca="1" si="26"/>
        <v>1</v>
      </c>
      <c r="AQ6" s="65" t="s">
        <v>22</v>
      </c>
      <c r="AR6" s="300">
        <f ca="1">IF(ISERROR(AO2),IF(ISERROR(AP2),"НЕТ",OFFSET(AF4,AP2-1,0,1)),OFFSET(AE4,AO2-1,0,1))</f>
        <v>0.17179108865098366</v>
      </c>
      <c r="AS6" s="304"/>
      <c r="AT6" s="91">
        <f ca="1">IF(ISERROR(AO2),IF(ISERROR(AP2),"НЕТ",OFFSET(AF4,AP2-1,0,1)),OFFSET(AE4,AO2-1,0,1))</f>
        <v>0.17179108865098366</v>
      </c>
      <c r="AU6" s="383"/>
      <c r="AV6" s="41"/>
      <c r="AW6" s="41"/>
      <c r="AX6" s="41"/>
      <c r="AY6" s="41"/>
      <c r="AZ6" s="41"/>
      <c r="BA6" s="41"/>
      <c r="BB6" s="41"/>
      <c r="BC6" s="41"/>
    </row>
    <row r="7" spans="2:55" ht="18" customHeight="1" x14ac:dyDescent="0.4">
      <c r="L7" s="305" t="s">
        <v>71</v>
      </c>
      <c r="M7" s="306">
        <f>D47</f>
        <v>21.13406342841926</v>
      </c>
      <c r="N7" s="88"/>
      <c r="O7" s="88">
        <v>4</v>
      </c>
      <c r="P7" s="93" t="str">
        <f t="shared" ca="1" si="23"/>
        <v>65-80</v>
      </c>
      <c r="Q7" s="93" t="str">
        <f t="shared" ca="1" si="0"/>
        <v>ПРЭМ-65</v>
      </c>
      <c r="R7" s="93">
        <f t="shared" ca="1" si="1"/>
        <v>65</v>
      </c>
      <c r="S7" s="93" t="str">
        <f t="shared" ca="1" si="2"/>
        <v>13,16</v>
      </c>
      <c r="T7" s="93">
        <f t="shared" ca="1" si="3"/>
        <v>1.7691469623934641</v>
      </c>
      <c r="U7" s="289">
        <f t="shared" ca="1" si="4"/>
        <v>588920.6975513302</v>
      </c>
      <c r="V7" s="289">
        <f t="shared" ca="1" si="5"/>
        <v>3.4705101432211762E-2</v>
      </c>
      <c r="W7" s="93">
        <f t="shared" ca="1" si="6"/>
        <v>2.1359121285165365E-2</v>
      </c>
      <c r="X7" s="93">
        <f t="shared" ca="1" si="7"/>
        <v>2.4844576664893425E-2</v>
      </c>
      <c r="Y7" s="93">
        <f t="shared" ca="1" si="8"/>
        <v>2.1359121285165365E-2</v>
      </c>
      <c r="Z7" s="290" t="e">
        <f t="shared" ca="1" si="9"/>
        <v>#N/A</v>
      </c>
      <c r="AA7" s="290">
        <f t="shared" ca="1" si="10"/>
        <v>0</v>
      </c>
      <c r="AB7" s="93">
        <f t="shared" ca="1" si="11"/>
        <v>3.2923288954153813E-2</v>
      </c>
      <c r="AC7" s="291" t="e">
        <f t="shared" ca="1" si="12"/>
        <v>#N/A</v>
      </c>
      <c r="AD7" s="93">
        <f t="shared" ca="1" si="13"/>
        <v>0</v>
      </c>
      <c r="AE7" s="93" t="e">
        <f t="shared" ca="1" si="14"/>
        <v>#N/A</v>
      </c>
      <c r="AF7" s="93">
        <f t="shared" ca="1" si="15"/>
        <v>3.2923288954153813E-2</v>
      </c>
      <c r="AG7" s="292">
        <f t="shared" ca="1" si="16"/>
        <v>0.8</v>
      </c>
      <c r="AH7" s="292">
        <f t="shared" ca="1" si="17"/>
        <v>0.48</v>
      </c>
      <c r="AI7" s="292">
        <f t="shared" ca="1" si="18"/>
        <v>0.26700000000000002</v>
      </c>
      <c r="AJ7" s="292">
        <f t="shared" ca="1" si="19"/>
        <v>120</v>
      </c>
      <c r="AK7" s="293" t="b">
        <f t="shared" ca="1" si="20"/>
        <v>1</v>
      </c>
      <c r="AL7" s="293" t="b">
        <f t="shared" ca="1" si="21"/>
        <v>1</v>
      </c>
      <c r="AM7" s="293" t="b">
        <f t="shared" ca="1" si="22"/>
        <v>1</v>
      </c>
      <c r="AN7" s="294" t="str">
        <f t="shared" ca="1" si="24"/>
        <v>D</v>
      </c>
      <c r="AO7" s="294" t="e">
        <f t="shared" ca="1" si="25"/>
        <v>#N/A</v>
      </c>
      <c r="AP7" s="294" t="b">
        <f t="shared" ca="1" si="26"/>
        <v>1</v>
      </c>
      <c r="AQ7" s="307"/>
      <c r="AR7" s="308"/>
      <c r="AS7" s="309"/>
      <c r="AT7" s="310"/>
      <c r="AU7" s="393"/>
      <c r="AV7" s="41"/>
      <c r="AW7" s="41"/>
      <c r="AX7" s="41"/>
      <c r="AY7" s="41"/>
      <c r="AZ7" s="41"/>
      <c r="BA7" s="41"/>
      <c r="BB7" s="41"/>
      <c r="BC7" s="41"/>
    </row>
    <row r="8" spans="2:55" ht="18" customHeight="1" x14ac:dyDescent="0.3">
      <c r="L8" s="305" t="s">
        <v>72</v>
      </c>
      <c r="M8" s="306">
        <f>D48</f>
        <v>10.56703171420963</v>
      </c>
      <c r="N8" s="88"/>
      <c r="O8" s="88">
        <v>5</v>
      </c>
      <c r="P8" s="93" t="str">
        <f t="shared" ca="1" si="23"/>
        <v>80-80</v>
      </c>
      <c r="Q8" s="93" t="str">
        <f t="shared" ca="1" si="0"/>
        <v>ПРЭМ-80</v>
      </c>
      <c r="R8" s="93">
        <f t="shared" ca="1" si="1"/>
        <v>80</v>
      </c>
      <c r="S8" s="93">
        <f t="shared" ca="1" si="2"/>
        <v>0</v>
      </c>
      <c r="T8" s="93">
        <f t="shared" ca="1" si="3"/>
        <v>1.1679134243925604</v>
      </c>
      <c r="U8" s="289">
        <f t="shared" ca="1" si="4"/>
        <v>478498.06676045584</v>
      </c>
      <c r="V8" s="289">
        <f t="shared" ca="1" si="5"/>
        <v>3.248549788373601E-2</v>
      </c>
      <c r="W8" s="93">
        <f t="shared" ca="1" si="6"/>
        <v>0</v>
      </c>
      <c r="X8" s="93">
        <f t="shared" ca="1" si="7"/>
        <v>0</v>
      </c>
      <c r="Y8" s="93">
        <f t="shared" ca="1" si="8"/>
        <v>0</v>
      </c>
      <c r="Z8" s="290" t="e">
        <f t="shared" ca="1" si="9"/>
        <v>#N/A</v>
      </c>
      <c r="AA8" s="290">
        <f t="shared" ca="1" si="10"/>
        <v>0</v>
      </c>
      <c r="AB8" s="93">
        <f t="shared" ca="1" si="11"/>
        <v>9.0338279757862881E-3</v>
      </c>
      <c r="AC8" s="291" t="e">
        <f t="shared" ca="1" si="12"/>
        <v>#N/A</v>
      </c>
      <c r="AD8" s="93">
        <f t="shared" ca="1" si="13"/>
        <v>0</v>
      </c>
      <c r="AE8" s="93" t="e">
        <f t="shared" ca="1" si="14"/>
        <v>#N/A</v>
      </c>
      <c r="AF8" s="93">
        <f t="shared" ca="1" si="15"/>
        <v>9.0338279757862881E-3</v>
      </c>
      <c r="AG8" s="292">
        <f t="shared" ca="1" si="16"/>
        <v>1.2</v>
      </c>
      <c r="AH8" s="292">
        <f t="shared" ca="1" si="17"/>
        <v>0.72</v>
      </c>
      <c r="AI8" s="292">
        <f t="shared" ca="1" si="18"/>
        <v>0.4</v>
      </c>
      <c r="AJ8" s="292">
        <f t="shared" ca="1" si="19"/>
        <v>180</v>
      </c>
      <c r="AK8" s="293" t="b">
        <f t="shared" ca="1" si="20"/>
        <v>1</v>
      </c>
      <c r="AL8" s="293" t="b">
        <f t="shared" ca="1" si="21"/>
        <v>1</v>
      </c>
      <c r="AM8" s="293" t="b">
        <f t="shared" ca="1" si="22"/>
        <v>1</v>
      </c>
      <c r="AN8" s="294" t="str">
        <f t="shared" ca="1" si="24"/>
        <v>D</v>
      </c>
      <c r="AO8" s="294" t="e">
        <f t="shared" ca="1" si="25"/>
        <v>#N/A</v>
      </c>
      <c r="AP8" s="294" t="b">
        <f t="shared" ca="1" si="26"/>
        <v>1</v>
      </c>
      <c r="AQ8" s="311"/>
      <c r="AR8" s="312"/>
      <c r="AS8" s="313"/>
      <c r="AT8" s="314"/>
      <c r="AU8" s="394"/>
      <c r="AV8" s="41"/>
      <c r="AW8" s="41"/>
      <c r="AX8" s="41"/>
      <c r="AY8" s="41"/>
      <c r="AZ8" s="41"/>
      <c r="BA8" s="41"/>
      <c r="BB8" s="41"/>
      <c r="BC8" s="41"/>
    </row>
    <row r="9" spans="2:55" ht="18" customHeight="1" x14ac:dyDescent="0.35">
      <c r="L9" s="305" t="s">
        <v>73</v>
      </c>
      <c r="M9" s="315">
        <f>D60</f>
        <v>1.9526322140435939E-7</v>
      </c>
      <c r="N9" s="88"/>
      <c r="O9" s="88">
        <v>6</v>
      </c>
      <c r="P9" s="93" t="str">
        <f t="shared" ca="1" si="23"/>
        <v>---</v>
      </c>
      <c r="Q9" s="93" t="str">
        <f t="shared" ca="1" si="0"/>
        <v>---</v>
      </c>
      <c r="R9" s="93" t="str">
        <f t="shared" ca="1" si="1"/>
        <v>---</v>
      </c>
      <c r="S9" s="93" t="str">
        <f t="shared" ca="1" si="2"/>
        <v>---</v>
      </c>
      <c r="T9" s="93" t="str">
        <f t="shared" ca="1" si="3"/>
        <v>---</v>
      </c>
      <c r="U9" s="289" t="str">
        <f t="shared" ca="1" si="4"/>
        <v>---</v>
      </c>
      <c r="V9" s="289" t="str">
        <f t="shared" ca="1" si="5"/>
        <v>---</v>
      </c>
      <c r="W9" s="93" t="str">
        <f t="shared" ca="1" si="6"/>
        <v>---</v>
      </c>
      <c r="X9" s="93" t="str">
        <f t="shared" ca="1" si="7"/>
        <v>---</v>
      </c>
      <c r="Y9" s="93" t="str">
        <f t="shared" ca="1" si="8"/>
        <v>---</v>
      </c>
      <c r="Z9" s="290" t="str">
        <f t="shared" ca="1" si="9"/>
        <v>---</v>
      </c>
      <c r="AA9" s="290" t="str">
        <f t="shared" ca="1" si="10"/>
        <v>---</v>
      </c>
      <c r="AB9" s="93" t="str">
        <f t="shared" ca="1" si="11"/>
        <v>--</v>
      </c>
      <c r="AC9" s="291" t="str">
        <f t="shared" ca="1" si="12"/>
        <v>--</v>
      </c>
      <c r="AD9" s="93" t="str">
        <f t="shared" ca="1" si="13"/>
        <v>--</v>
      </c>
      <c r="AE9" s="93" t="str">
        <f t="shared" ca="1" si="14"/>
        <v>---</v>
      </c>
      <c r="AF9" s="93" t="str">
        <f t="shared" ca="1" si="15"/>
        <v>---</v>
      </c>
      <c r="AG9" s="292" t="str">
        <f t="shared" ca="1" si="16"/>
        <v>---</v>
      </c>
      <c r="AH9" s="292" t="str">
        <f t="shared" ca="1" si="17"/>
        <v>---</v>
      </c>
      <c r="AI9" s="292" t="str">
        <f t="shared" ca="1" si="18"/>
        <v>---</v>
      </c>
      <c r="AJ9" s="292" t="str">
        <f t="shared" ca="1" si="19"/>
        <v>---</v>
      </c>
      <c r="AK9" s="293" t="str">
        <f t="shared" ca="1" si="20"/>
        <v>---</v>
      </c>
      <c r="AL9" s="293" t="str">
        <f t="shared" ca="1" si="21"/>
        <v>---</v>
      </c>
      <c r="AM9" s="293" t="str">
        <f t="shared" ca="1" si="22"/>
        <v>---</v>
      </c>
      <c r="AN9" s="294" t="str">
        <f t="shared" ca="1" si="24"/>
        <v>---</v>
      </c>
      <c r="AO9" s="294" t="str">
        <f t="shared" ca="1" si="25"/>
        <v>---</v>
      </c>
      <c r="AP9" s="294" t="str">
        <f t="shared" ca="1" si="26"/>
        <v>---</v>
      </c>
      <c r="AQ9" s="91"/>
      <c r="AS9" s="316"/>
      <c r="AT9" s="317"/>
      <c r="AU9" s="338"/>
      <c r="AV9" s="41"/>
      <c r="AW9" s="41"/>
      <c r="AX9" s="41"/>
      <c r="AY9" s="41"/>
      <c r="AZ9" s="41"/>
      <c r="BA9" s="41"/>
      <c r="BB9" s="41"/>
      <c r="BC9" s="41"/>
    </row>
    <row r="10" spans="2:55" ht="18" customHeight="1" thickBot="1" x14ac:dyDescent="0.35">
      <c r="L10" s="318" t="s">
        <v>102</v>
      </c>
      <c r="M10" s="319">
        <f>(M7/3.6)/((PI()*M6^2)/4000)</f>
        <v>1.1679134243925604</v>
      </c>
      <c r="O10" s="88">
        <v>7</v>
      </c>
      <c r="P10" s="93" t="str">
        <f t="shared" ca="1" si="23"/>
        <v>---</v>
      </c>
      <c r="Q10" s="93" t="str">
        <f t="shared" ca="1" si="0"/>
        <v>---</v>
      </c>
      <c r="R10" s="93" t="str">
        <f t="shared" ca="1" si="1"/>
        <v>---</v>
      </c>
      <c r="S10" s="93" t="str">
        <f t="shared" ca="1" si="2"/>
        <v>---</v>
      </c>
      <c r="T10" s="93" t="str">
        <f t="shared" ca="1" si="3"/>
        <v>---</v>
      </c>
      <c r="U10" s="289" t="str">
        <f t="shared" ca="1" si="4"/>
        <v>---</v>
      </c>
      <c r="V10" s="289" t="str">
        <f t="shared" ca="1" si="5"/>
        <v>---</v>
      </c>
      <c r="W10" s="93" t="str">
        <f t="shared" ca="1" si="6"/>
        <v>---</v>
      </c>
      <c r="X10" s="93" t="str">
        <f t="shared" ca="1" si="7"/>
        <v>---</v>
      </c>
      <c r="Y10" s="93" t="str">
        <f t="shared" ca="1" si="8"/>
        <v>---</v>
      </c>
      <c r="Z10" s="290" t="str">
        <f t="shared" ca="1" si="9"/>
        <v>---</v>
      </c>
      <c r="AA10" s="290" t="str">
        <f t="shared" ca="1" si="10"/>
        <v>---</v>
      </c>
      <c r="AB10" s="93" t="str">
        <f t="shared" ca="1" si="11"/>
        <v>--</v>
      </c>
      <c r="AC10" s="291" t="str">
        <f t="shared" ca="1" si="12"/>
        <v>--</v>
      </c>
      <c r="AD10" s="93" t="str">
        <f t="shared" ca="1" si="13"/>
        <v>--</v>
      </c>
      <c r="AE10" s="93" t="str">
        <f t="shared" ca="1" si="14"/>
        <v>---</v>
      </c>
      <c r="AF10" s="93" t="str">
        <f t="shared" ca="1" si="15"/>
        <v>---</v>
      </c>
      <c r="AG10" s="292" t="str">
        <f t="shared" ca="1" si="16"/>
        <v>---</v>
      </c>
      <c r="AH10" s="292" t="str">
        <f t="shared" ca="1" si="17"/>
        <v>---</v>
      </c>
      <c r="AI10" s="292" t="str">
        <f t="shared" ca="1" si="18"/>
        <v>---</v>
      </c>
      <c r="AJ10" s="292" t="str">
        <f t="shared" ca="1" si="19"/>
        <v>---</v>
      </c>
      <c r="AK10" s="293" t="str">
        <f t="shared" ca="1" si="20"/>
        <v>---</v>
      </c>
      <c r="AL10" s="293" t="str">
        <f t="shared" ca="1" si="21"/>
        <v>---</v>
      </c>
      <c r="AM10" s="293" t="str">
        <f t="shared" ca="1" si="22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  <c r="AU10" s="9"/>
      <c r="AV10" s="41"/>
      <c r="AW10" s="41"/>
      <c r="AX10" s="41"/>
      <c r="AY10" s="41"/>
      <c r="AZ10" s="41"/>
      <c r="BA10" s="41"/>
      <c r="BB10" s="41"/>
      <c r="BC10" s="41"/>
    </row>
    <row r="11" spans="2:55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0"/>
        <v>---</v>
      </c>
      <c r="R11" s="93" t="str">
        <f t="shared" ca="1" si="1"/>
        <v>---</v>
      </c>
      <c r="S11" s="93" t="str">
        <f t="shared" ca="1" si="2"/>
        <v>---</v>
      </c>
      <c r="T11" s="93" t="str">
        <f t="shared" ca="1" si="3"/>
        <v>---</v>
      </c>
      <c r="U11" s="289" t="str">
        <f t="shared" ca="1" si="4"/>
        <v>---</v>
      </c>
      <c r="V11" s="289" t="str">
        <f t="shared" ca="1" si="5"/>
        <v>---</v>
      </c>
      <c r="W11" s="93" t="str">
        <f t="shared" ca="1" si="6"/>
        <v>---</v>
      </c>
      <c r="X11" s="93" t="str">
        <f t="shared" ca="1" si="7"/>
        <v>---</v>
      </c>
      <c r="Y11" s="93" t="str">
        <f t="shared" ca="1" si="8"/>
        <v>---</v>
      </c>
      <c r="Z11" s="290" t="str">
        <f t="shared" ca="1" si="9"/>
        <v>---</v>
      </c>
      <c r="AA11" s="290" t="str">
        <f t="shared" ca="1" si="10"/>
        <v>---</v>
      </c>
      <c r="AB11" s="93" t="str">
        <f t="shared" ca="1" si="11"/>
        <v>--</v>
      </c>
      <c r="AC11" s="291" t="str">
        <f t="shared" ca="1" si="12"/>
        <v>--</v>
      </c>
      <c r="AD11" s="93" t="str">
        <f t="shared" ca="1" si="13"/>
        <v>--</v>
      </c>
      <c r="AE11" s="93" t="str">
        <f t="shared" ca="1" si="14"/>
        <v>---</v>
      </c>
      <c r="AF11" s="93" t="str">
        <f t="shared" ca="1" si="15"/>
        <v>---</v>
      </c>
      <c r="AG11" s="292" t="str">
        <f t="shared" ca="1" si="16"/>
        <v>---</v>
      </c>
      <c r="AH11" s="292" t="str">
        <f t="shared" ca="1" si="17"/>
        <v>---</v>
      </c>
      <c r="AI11" s="292" t="str">
        <f t="shared" ca="1" si="18"/>
        <v>---</v>
      </c>
      <c r="AJ11" s="292" t="str">
        <f t="shared" ca="1" si="19"/>
        <v>---</v>
      </c>
      <c r="AK11" s="293" t="str">
        <f t="shared" ca="1" si="20"/>
        <v>---</v>
      </c>
      <c r="AL11" s="293" t="str">
        <f t="shared" ca="1" si="21"/>
        <v>---</v>
      </c>
      <c r="AM11" s="293" t="str">
        <f t="shared" ca="1" si="22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T11" s="91"/>
      <c r="AU11" s="10"/>
      <c r="AV11" s="41"/>
      <c r="AW11" s="41"/>
      <c r="AX11" s="41"/>
      <c r="AY11" s="41"/>
      <c r="AZ11" s="41"/>
      <c r="BA11" s="41"/>
      <c r="BB11" s="41"/>
      <c r="BC11" s="41"/>
    </row>
    <row r="12" spans="2:55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0"/>
        <v>---</v>
      </c>
      <c r="R12" s="93" t="str">
        <f t="shared" ca="1" si="1"/>
        <v>---</v>
      </c>
      <c r="S12" s="93" t="str">
        <f t="shared" ca="1" si="2"/>
        <v>---</v>
      </c>
      <c r="T12" s="93" t="str">
        <f t="shared" ca="1" si="3"/>
        <v>---</v>
      </c>
      <c r="U12" s="289" t="str">
        <f t="shared" ca="1" si="4"/>
        <v>---</v>
      </c>
      <c r="V12" s="289" t="str">
        <f t="shared" ca="1" si="5"/>
        <v>---</v>
      </c>
      <c r="W12" s="93" t="str">
        <f t="shared" ca="1" si="6"/>
        <v>---</v>
      </c>
      <c r="X12" s="93" t="str">
        <f t="shared" ca="1" si="7"/>
        <v>---</v>
      </c>
      <c r="Y12" s="93" t="str">
        <f t="shared" ca="1" si="8"/>
        <v>---</v>
      </c>
      <c r="Z12" s="290" t="str">
        <f t="shared" ca="1" si="9"/>
        <v>---</v>
      </c>
      <c r="AA12" s="290" t="str">
        <f t="shared" ca="1" si="10"/>
        <v>---</v>
      </c>
      <c r="AB12" s="93" t="str">
        <f t="shared" ca="1" si="11"/>
        <v>--</v>
      </c>
      <c r="AC12" s="291" t="str">
        <f t="shared" ca="1" si="12"/>
        <v>--</v>
      </c>
      <c r="AD12" s="93" t="str">
        <f t="shared" ca="1" si="13"/>
        <v>--</v>
      </c>
      <c r="AE12" s="93" t="str">
        <f t="shared" ca="1" si="14"/>
        <v>---</v>
      </c>
      <c r="AF12" s="93" t="str">
        <f t="shared" ca="1" si="15"/>
        <v>---</v>
      </c>
      <c r="AG12" s="292" t="str">
        <f t="shared" ca="1" si="16"/>
        <v>---</v>
      </c>
      <c r="AH12" s="292" t="str">
        <f t="shared" ca="1" si="17"/>
        <v>---</v>
      </c>
      <c r="AI12" s="292" t="str">
        <f t="shared" ca="1" si="18"/>
        <v>---</v>
      </c>
      <c r="AJ12" s="292" t="str">
        <f t="shared" ca="1" si="19"/>
        <v>---</v>
      </c>
      <c r="AK12" s="293" t="str">
        <f t="shared" ca="1" si="20"/>
        <v>---</v>
      </c>
      <c r="AL12" s="293" t="str">
        <f t="shared" ca="1" si="21"/>
        <v>---</v>
      </c>
      <c r="AM12" s="293" t="str">
        <f t="shared" ca="1" si="22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T12" s="91"/>
      <c r="AU12" s="10"/>
      <c r="AV12" s="41"/>
      <c r="AW12" s="41"/>
      <c r="AX12" s="41"/>
      <c r="AY12" s="41"/>
      <c r="AZ12" s="41"/>
      <c r="BA12" s="41"/>
      <c r="BB12" s="41"/>
      <c r="BC12" s="41"/>
    </row>
    <row r="13" spans="2:55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0"/>
        <v>---</v>
      </c>
      <c r="R13" s="93" t="str">
        <f t="shared" ca="1" si="1"/>
        <v>---</v>
      </c>
      <c r="S13" s="93" t="str">
        <f t="shared" ca="1" si="2"/>
        <v>---</v>
      </c>
      <c r="T13" s="93" t="str">
        <f t="shared" ca="1" si="3"/>
        <v>---</v>
      </c>
      <c r="U13" s="289" t="str">
        <f t="shared" ca="1" si="4"/>
        <v>---</v>
      </c>
      <c r="V13" s="289" t="str">
        <f t="shared" ca="1" si="5"/>
        <v>---</v>
      </c>
      <c r="W13" s="93" t="str">
        <f t="shared" ca="1" si="6"/>
        <v>---</v>
      </c>
      <c r="X13" s="93" t="str">
        <f t="shared" ca="1" si="7"/>
        <v>---</v>
      </c>
      <c r="Y13" s="93" t="str">
        <f t="shared" ca="1" si="8"/>
        <v>---</v>
      </c>
      <c r="Z13" s="290" t="str">
        <f t="shared" ca="1" si="9"/>
        <v>---</v>
      </c>
      <c r="AA13" s="290" t="str">
        <f t="shared" ca="1" si="10"/>
        <v>---</v>
      </c>
      <c r="AB13" s="93" t="str">
        <f t="shared" ca="1" si="11"/>
        <v>--</v>
      </c>
      <c r="AC13" s="291" t="str">
        <f t="shared" ca="1" si="12"/>
        <v>--</v>
      </c>
      <c r="AD13" s="93" t="str">
        <f t="shared" ca="1" si="13"/>
        <v>--</v>
      </c>
      <c r="AE13" s="93" t="str">
        <f t="shared" ca="1" si="14"/>
        <v>---</v>
      </c>
      <c r="AF13" s="93" t="str">
        <f t="shared" ca="1" si="15"/>
        <v>---</v>
      </c>
      <c r="AG13" s="292" t="str">
        <f t="shared" ca="1" si="16"/>
        <v>---</v>
      </c>
      <c r="AH13" s="292" t="str">
        <f t="shared" ca="1" si="17"/>
        <v>---</v>
      </c>
      <c r="AI13" s="292" t="str">
        <f t="shared" ca="1" si="18"/>
        <v>---</v>
      </c>
      <c r="AJ13" s="292" t="str">
        <f t="shared" ca="1" si="19"/>
        <v>---</v>
      </c>
      <c r="AK13" s="293" t="str">
        <f t="shared" ca="1" si="20"/>
        <v>---</v>
      </c>
      <c r="AL13" s="293" t="str">
        <f t="shared" ca="1" si="21"/>
        <v>---</v>
      </c>
      <c r="AM13" s="293" t="str">
        <f t="shared" ca="1" si="22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T13" s="91"/>
      <c r="AU13" s="10"/>
      <c r="AV13" s="41"/>
      <c r="AW13" s="41"/>
      <c r="AX13" s="41"/>
      <c r="AY13" s="41"/>
      <c r="AZ13" s="41"/>
      <c r="BA13" s="41"/>
      <c r="BB13" s="41"/>
      <c r="BC13" s="41"/>
    </row>
    <row r="14" spans="2:55" ht="18" customHeight="1" thickBot="1" x14ac:dyDescent="0.35">
      <c r="T14" s="321" t="s">
        <v>411</v>
      </c>
      <c r="Z14" s="322"/>
      <c r="AA14" s="322"/>
      <c r="AS14" s="41"/>
      <c r="AT14" s="91"/>
      <c r="AU14" s="10"/>
      <c r="AV14" s="41"/>
      <c r="AW14" s="41"/>
      <c r="AX14" s="41"/>
      <c r="AY14" s="41"/>
      <c r="AZ14" s="41"/>
      <c r="BA14" s="41"/>
      <c r="BB14" s="41"/>
      <c r="BC14" s="41"/>
    </row>
    <row r="15" spans="2:55" ht="18" customHeight="1" thickBot="1" x14ac:dyDescent="0.35">
      <c r="N15" s="262"/>
      <c r="O15" s="263" t="s">
        <v>406</v>
      </c>
      <c r="P15" s="264">
        <f>MATCH(M19,DyTr_New,0)</f>
        <v>29</v>
      </c>
      <c r="Q15" s="265">
        <f ca="1">MATCH(TRUE,AO17:AO26,0)</f>
        <v>3</v>
      </c>
      <c r="R15" s="266" t="s">
        <v>103</v>
      </c>
      <c r="S15" s="267"/>
      <c r="T15" s="323">
        <f ca="1">IF(M6=M19,Q2,Q15)</f>
        <v>3</v>
      </c>
      <c r="U15" s="268">
        <f ca="1">MATCH(TRUE,AO17:AO26,0)</f>
        <v>3</v>
      </c>
      <c r="V15" s="269" t="s">
        <v>407</v>
      </c>
      <c r="W15" s="270"/>
      <c r="X15" s="270"/>
      <c r="Y15" s="270"/>
      <c r="Z15" s="838" t="s">
        <v>206</v>
      </c>
      <c r="AA15" s="838"/>
      <c r="AB15" s="258"/>
      <c r="AG15" s="826" t="s">
        <v>75</v>
      </c>
      <c r="AH15" s="826"/>
      <c r="AI15" s="826"/>
      <c r="AJ15" s="271" t="s">
        <v>66</v>
      </c>
      <c r="AK15" s="810" t="s">
        <v>65</v>
      </c>
      <c r="AL15" s="810"/>
      <c r="AM15" s="810"/>
      <c r="AN15" s="272"/>
      <c r="AO15" s="273">
        <f ca="1">MATCH(TRUE,AO17:AO26,0)</f>
        <v>3</v>
      </c>
      <c r="AP15" s="273">
        <f ca="1">MATCH(TRUE,AP17:AP26,0)</f>
        <v>3</v>
      </c>
      <c r="AQ15" s="802" t="s">
        <v>69</v>
      </c>
      <c r="AR15" s="803"/>
      <c r="AS15" s="41"/>
      <c r="AT15" s="91"/>
      <c r="AU15" s="10"/>
      <c r="AV15" s="41"/>
      <c r="AW15" s="41"/>
      <c r="AX15" s="41"/>
      <c r="AY15" s="41"/>
      <c r="AZ15" s="41"/>
      <c r="BA15" s="41"/>
      <c r="BB15" s="41"/>
      <c r="BC15" s="41"/>
    </row>
    <row r="16" spans="2:55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ПРЭМ-50-D-Cэндвич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ПРЭМ-50-D</v>
      </c>
      <c r="AU16" s="10"/>
      <c r="AV16" s="41"/>
      <c r="AW16" s="41"/>
      <c r="AX16" s="41"/>
      <c r="AY16" s="41"/>
      <c r="AZ16" s="41"/>
      <c r="BA16" s="41"/>
      <c r="BB16" s="41"/>
      <c r="BC16" s="41"/>
    </row>
    <row r="17" spans="2:55" ht="18" customHeight="1" x14ac:dyDescent="0.3">
      <c r="L17" s="287" t="s">
        <v>74</v>
      </c>
      <c r="M17" s="288">
        <v>0.5</v>
      </c>
      <c r="N17" s="88">
        <f ca="1">OFFSET(DyTr_New,P15-1,1,1)</f>
        <v>5</v>
      </c>
      <c r="O17" s="88">
        <v>1</v>
      </c>
      <c r="P17" s="93" t="str">
        <f t="shared" ref="P17:P26" ca="1" si="27">IF(O17&lt;=$N$17,OFFSET(DyTr_New,$P$15-2+O17,4,1),"---")</f>
        <v>32-80</v>
      </c>
      <c r="Q17" s="93" t="str">
        <f t="shared" ref="Q17:Q26" ca="1" si="28">IF(O17&lt;=$N$17,OFFSET(DyTr_New,$P$15-2+O17,2,1),"---")</f>
        <v>ПРЭМ-32</v>
      </c>
      <c r="R17" s="93">
        <f t="shared" ref="R17:R26" ca="1" si="29">IF(O17&lt;=$N$17,OFFSET(DyTr_New,$P$15-2+O17,5,1),"---")</f>
        <v>32</v>
      </c>
      <c r="S17" s="93" t="str">
        <f t="shared" ref="S17:S26" ca="1" si="30">IF(O17&lt;=$N$17,OFFSET(DyTr_New,$P$15-2+O17,6,1),"---")</f>
        <v>24,62</v>
      </c>
      <c r="T17" s="93">
        <f ca="1">IF(O17&lt;=$N$17,($M$20/3.6)/((PI()*R17^2)/4000),"---")</f>
        <v>6.9763256316551585</v>
      </c>
      <c r="U17" s="289">
        <f ca="1">IF(O17&lt;=$N$17,(T17*R17/$M$22/1000),"---")</f>
        <v>557090.17210335378</v>
      </c>
      <c r="V17" s="289">
        <f ca="1">IF(O17&lt;=$N$17,(1/(1.14+2*LOG((R17/$M$17),10))^2),"---")</f>
        <v>4.4277322004702871E-2</v>
      </c>
      <c r="W17" s="93">
        <f ca="1">IF(O17&lt;=$N$17,(IF(S17=0,0,(V17/(8*SIN(RADIANS(S17/2))))*(1-(R17/$M$19)^4))),"---")</f>
        <v>2.5295285226432103E-2</v>
      </c>
      <c r="X17" s="93">
        <f ca="1">IF(O17&lt;=$N$17,(3.2*TAN(RADIANS(S17/2))^1.25*(1-(R17/$M$19)^2)^2),"---")</f>
        <v>0.33676116779011345</v>
      </c>
      <c r="Y17" s="93">
        <f ca="1">IF(O17&lt;=$N$17,(IF(S17=0,0,V17/(8*SIN(RADIANS(S17/2)))*(1-(R17/$M$19)^4))),"---")</f>
        <v>2.5295285226432103E-2</v>
      </c>
      <c r="Z17" s="290">
        <f t="shared" ref="Z17:Z26" ca="1" si="31">IF(O17&lt;=$N$17,VLOOKUP(Q17&amp;"-Сэндвич",TypePFlow,3,FALSE),"---")</f>
        <v>0</v>
      </c>
      <c r="AA17" s="290">
        <f t="shared" ref="AA17:AA26" ca="1" si="32">IF(O17&lt;=$N$17,VLOOKUP(Q17&amp;"-Фланец",TypePFlow,3,FALSE),"---")</f>
        <v>0</v>
      </c>
      <c r="AB17" s="93">
        <f t="shared" ref="AB17:AB26" ca="1" si="33">IF(O17&lt;=$N$17,(V17*4+W17+X17+Y17)*T17^2/(2*9.81),"--")</f>
        <v>1.400194752191509</v>
      </c>
      <c r="AC17" s="291">
        <f t="shared" ref="AC17:AC26" ca="1" si="34">IF(O17&lt;=$N$17,(Z17*$M$20^2),"--")</f>
        <v>0</v>
      </c>
      <c r="AD17" s="93">
        <f t="shared" ref="AD17:AD26" ca="1" si="35">IF(O17&lt;=$N$17,(AA17*$M$20^2),"--")</f>
        <v>0</v>
      </c>
      <c r="AE17" s="93">
        <f t="shared" ref="AE17:AE26" ca="1" si="36">IF(O17&lt;=$N$17,(AB17+AC17),"---")</f>
        <v>1.400194752191509</v>
      </c>
      <c r="AF17" s="93">
        <f t="shared" ref="AF17:AF26" ca="1" si="37">IF(O17&lt;=$N$17,(AB17+AD17),"---")</f>
        <v>1.400194752191509</v>
      </c>
      <c r="AG17" s="292">
        <f t="shared" ref="AG17:AG26" ca="1" si="38">IF(O17&lt;=$N$17,VLOOKUP(Q17&amp;"-D",ParamPiterflow,2,FALSE),"---")</f>
        <v>0.2</v>
      </c>
      <c r="AH17" s="292">
        <f t="shared" ref="AH17:AH26" ca="1" si="39">IF(O17&lt;=$N$17,VLOOKUP(Q17&amp;"-C1",ParamPiterflow,2,FALSE),"---")</f>
        <v>0.12</v>
      </c>
      <c r="AI17" s="292">
        <f t="shared" ref="AI17:AI26" ca="1" si="40">IF(O17&lt;=$N$17,VLOOKUP(Q17&amp;"-B1",ParamPiterflow,2,FALSE),"---")</f>
        <v>6.7000000000000004E-2</v>
      </c>
      <c r="AJ17" s="292">
        <f t="shared" ref="AJ17:AJ26" ca="1" si="41">IF(O17&lt;=$N$17,VLOOKUP(Q17&amp;"-D",ParamPiterflow,4,FALSE),"---")</f>
        <v>30</v>
      </c>
      <c r="AK17" s="293" t="b">
        <f t="shared" ref="AK17:AK26" ca="1" si="42">IF($O17&lt;=$N$17,AND(AG17&lt;$M$21,$AJ17&gt;$M$20),"---")</f>
        <v>1</v>
      </c>
      <c r="AL17" s="293" t="b">
        <f t="shared" ref="AL17:AL26" ca="1" si="43">IF($O17&lt;=$N$17,AND(AH17&lt;$M$21,$AJ17&gt;$M$20),"---")</f>
        <v>1</v>
      </c>
      <c r="AM17" s="293" t="b">
        <f t="shared" ref="AM17:AM26" ca="1" si="44">IF($O17&lt;=$N$17,AND(AI17&lt;$M$21,$AJ17&gt;$M$20),"---")</f>
        <v>1</v>
      </c>
      <c r="AN17" s="294" t="str">
        <f ca="1">IF($O17&lt;=$N$17,IF(AK17,"D",IF(AL17,"C1",IF(AM17,"B1","НЕТ"))),"---")</f>
        <v>D</v>
      </c>
      <c r="AO17" s="294" t="b">
        <f ca="1">IF($O17&lt;=$N$17,AND(AE17&lt;$M$18,NOT(AN17="НЕТ"),IF($F$25="Экономный",T17&lt;=3,IF(AND($F$25="Оптимальный",T17&gt;$E$50),T17&lt;=1.8,IF(AND($F$25="Затратный",T17&gt;$E$50),T17&lt;=1,T17&lt;=3)))),"---")</f>
        <v>0</v>
      </c>
      <c r="AP17" s="294" t="b">
        <f ca="1">IF($O17&lt;=$N$17,AND(AF17&lt;$M$18,NOT(AN17="НЕТ"),IF($F$25="Экономный",T17&lt;=3,IF(AND($F$25="Оптимальный",T17&gt;$E$50),T17&lt;=1.8,IF(AND($F$25="Затратный",T17&gt;$E$50),T17&lt;=1,T17&lt;=3)))),"---")</f>
        <v>0</v>
      </c>
      <c r="AQ17" s="295"/>
      <c r="AR17" s="296"/>
      <c r="AS17" s="41"/>
      <c r="AT17" s="9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" customHeight="1" x14ac:dyDescent="0.3">
      <c r="L18" s="297" t="s">
        <v>189</v>
      </c>
      <c r="M18" s="298">
        <f>E31</f>
        <v>0.5</v>
      </c>
      <c r="N18" s="88"/>
      <c r="O18" s="88">
        <v>2</v>
      </c>
      <c r="P18" s="93" t="str">
        <f t="shared" ca="1" si="27"/>
        <v>40-80</v>
      </c>
      <c r="Q18" s="93" t="str">
        <f t="shared" ca="1" si="28"/>
        <v>ПРЭМ-40</v>
      </c>
      <c r="R18" s="93">
        <f t="shared" ca="1" si="29"/>
        <v>40</v>
      </c>
      <c r="S18" s="93" t="str">
        <f t="shared" ca="1" si="30"/>
        <v>34,2</v>
      </c>
      <c r="T18" s="93">
        <f t="shared" ref="T18:T26" ca="1" si="45">IF(O18&lt;=$N$17,($M$20/3.6)/((PI()*R18^2)/4000),"---")</f>
        <v>4.4648484042593015</v>
      </c>
      <c r="U18" s="289">
        <f t="shared" ref="U18:U26" ca="1" si="46">IF(O18&lt;=$N$17,(T18*R18/$M$22/1000),"---")</f>
        <v>445672.13768268301</v>
      </c>
      <c r="V18" s="289">
        <f t="shared" ref="V18:V24" ca="1" si="47">IF(O18&lt;=$N$17,(1/(1.14+2*LOG((R18/$M$17),10))^2),"---")</f>
        <v>4.0875226338606262E-2</v>
      </c>
      <c r="W18" s="93">
        <f t="shared" ref="W18:W26" ca="1" si="48">IF(O18&lt;=$N$17,(IF(S18=0,0,(V18/(8*SIN(RADIANS(S18/2))))*(1-(R18/$M$19)^4))),"---")</f>
        <v>1.6290505673910789E-2</v>
      </c>
      <c r="X18" s="93">
        <f t="shared" ref="X18:X26" ca="1" si="49">IF(O18&lt;=$N$17,(3.2*TAN(RADIANS(S18/2))^1.25*(1-(R18/$M$19)^2)^2),"---")</f>
        <v>0.41240726556644086</v>
      </c>
      <c r="Y18" s="93">
        <f t="shared" ref="Y18:Y26" ca="1" si="50">IF(O18&lt;=$N$17,(IF(S18=0,0,V18/(8*SIN(RADIANS(S18/2)))*(1-(R18/$M$19)^4))),"---")</f>
        <v>1.6290505673910789E-2</v>
      </c>
      <c r="Z18" s="290">
        <f t="shared" ca="1" si="31"/>
        <v>0</v>
      </c>
      <c r="AA18" s="290">
        <f t="shared" ca="1" si="32"/>
        <v>0</v>
      </c>
      <c r="AB18" s="93">
        <f t="shared" ca="1" si="33"/>
        <v>0.61825451169977363</v>
      </c>
      <c r="AC18" s="291">
        <f t="shared" ca="1" si="34"/>
        <v>0</v>
      </c>
      <c r="AD18" s="93">
        <f t="shared" ca="1" si="35"/>
        <v>0</v>
      </c>
      <c r="AE18" s="93">
        <f t="shared" ca="1" si="36"/>
        <v>0.61825451169977363</v>
      </c>
      <c r="AF18" s="93">
        <f t="shared" ca="1" si="37"/>
        <v>0.61825451169977363</v>
      </c>
      <c r="AG18" s="292">
        <f t="shared" ca="1" si="38"/>
        <v>0.3</v>
      </c>
      <c r="AH18" s="292">
        <f t="shared" ca="1" si="39"/>
        <v>0.18</v>
      </c>
      <c r="AI18" s="292">
        <f t="shared" ca="1" si="40"/>
        <v>0.1</v>
      </c>
      <c r="AJ18" s="292">
        <f t="shared" ca="1" si="41"/>
        <v>45</v>
      </c>
      <c r="AK18" s="293" t="b">
        <f t="shared" ca="1" si="42"/>
        <v>1</v>
      </c>
      <c r="AL18" s="293" t="b">
        <f t="shared" ca="1" si="43"/>
        <v>1</v>
      </c>
      <c r="AM18" s="293" t="b">
        <f t="shared" ca="1" si="44"/>
        <v>1</v>
      </c>
      <c r="AN18" s="294" t="str">
        <f t="shared" ref="AN18:AN25" ca="1" si="51">IF($O18&lt;=$N$17,IF(AK18,"D",IF(AL18,"C1",IF(AM18,"B1","НЕТ"))),"---")</f>
        <v>D</v>
      </c>
      <c r="AO18" s="294" t="b">
        <f t="shared" ref="AO18:AO26" ca="1" si="52">IF($O18&lt;=$N$17,AND(AE18&lt;$M$18,NOT(AN18="НЕТ"),IF($F$25="Экономный",T18&lt;=3,IF(AND($F$25="Оптимальный",T18&gt;$E$50),T18&lt;=1.8,IF(AND($F$25="Затратный",T18&gt;$E$50),T18&lt;=1,T18&lt;=3)))),"---")</f>
        <v>0</v>
      </c>
      <c r="AP18" s="294" t="b">
        <f t="shared" ref="AP18:AP26" ca="1" si="53">IF($O18&lt;=$N$17,AND(AF18&lt;$M$18,NOT(AN18="НЕТ"),IF($F$25="Экономный",T18&lt;=3,IF(AND($F$25="Оптимальный",T18&gt;$E$50),T18&lt;=1.8,IF(AND($F$25="Затратный",T18&gt;$E$50),T18&lt;=1,T18&lt;=3)))),"---")</f>
        <v>0</v>
      </c>
      <c r="AQ18" s="299" t="s">
        <v>18</v>
      </c>
      <c r="AR18" s="300">
        <f ca="1">OFFSET(T17,IF(ISERROR(AO15),IF(ISERROR(AP15),"НЕТ",AP15),AO15)-1,0,1)</f>
        <v>2.8575029787259529</v>
      </c>
      <c r="AS18" s="41"/>
      <c r="AT18" s="9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" customHeight="1" x14ac:dyDescent="0.3">
      <c r="L19" s="302" t="s">
        <v>410</v>
      </c>
      <c r="M19" s="303">
        <f>$E$32</f>
        <v>80</v>
      </c>
      <c r="N19" s="88"/>
      <c r="O19" s="88">
        <v>3</v>
      </c>
      <c r="P19" s="93" t="str">
        <f t="shared" ca="1" si="27"/>
        <v>50-80</v>
      </c>
      <c r="Q19" s="93" t="str">
        <f t="shared" ca="1" si="28"/>
        <v>ПРЭМ-50</v>
      </c>
      <c r="R19" s="93">
        <f t="shared" ca="1" si="29"/>
        <v>50</v>
      </c>
      <c r="S19" s="93" t="str">
        <f t="shared" ca="1" si="30"/>
        <v>25,98</v>
      </c>
      <c r="T19" s="93">
        <f t="shared" ca="1" si="45"/>
        <v>2.8575029787259529</v>
      </c>
      <c r="U19" s="289">
        <f t="shared" ca="1" si="46"/>
        <v>356537.71014614642</v>
      </c>
      <c r="V19" s="289">
        <f t="shared" ca="1" si="47"/>
        <v>3.7850686611455138E-2</v>
      </c>
      <c r="W19" s="93">
        <f t="shared" ca="1" si="48"/>
        <v>1.7836878689553519E-2</v>
      </c>
      <c r="X19" s="93">
        <f t="shared" ca="1" si="49"/>
        <v>0.18997302592343249</v>
      </c>
      <c r="Y19" s="93">
        <f t="shared" ca="1" si="50"/>
        <v>1.7836878689553519E-2</v>
      </c>
      <c r="Z19" s="290">
        <f t="shared" ca="1" si="31"/>
        <v>0</v>
      </c>
      <c r="AA19" s="290">
        <f t="shared" ca="1" si="32"/>
        <v>0</v>
      </c>
      <c r="AB19" s="93">
        <f t="shared" ca="1" si="33"/>
        <v>0.15691800716051232</v>
      </c>
      <c r="AC19" s="291">
        <f t="shared" ca="1" si="34"/>
        <v>0</v>
      </c>
      <c r="AD19" s="93">
        <f t="shared" ca="1" si="35"/>
        <v>0</v>
      </c>
      <c r="AE19" s="93">
        <f t="shared" ca="1" si="36"/>
        <v>0.15691800716051232</v>
      </c>
      <c r="AF19" s="93">
        <f t="shared" ca="1" si="37"/>
        <v>0.15691800716051232</v>
      </c>
      <c r="AG19" s="292">
        <f t="shared" ca="1" si="38"/>
        <v>0.48</v>
      </c>
      <c r="AH19" s="292">
        <f t="shared" ca="1" si="39"/>
        <v>0.28799999999999998</v>
      </c>
      <c r="AI19" s="292">
        <f t="shared" ca="1" si="40"/>
        <v>0.16</v>
      </c>
      <c r="AJ19" s="292">
        <f t="shared" ca="1" si="41"/>
        <v>72</v>
      </c>
      <c r="AK19" s="293" t="b">
        <f t="shared" ca="1" si="42"/>
        <v>1</v>
      </c>
      <c r="AL19" s="293" t="b">
        <f t="shared" ca="1" si="43"/>
        <v>1</v>
      </c>
      <c r="AM19" s="293" t="b">
        <f t="shared" ca="1" si="44"/>
        <v>1</v>
      </c>
      <c r="AN19" s="294" t="str">
        <f t="shared" ca="1" si="51"/>
        <v>D</v>
      </c>
      <c r="AO19" s="294" t="b">
        <f t="shared" ca="1" si="52"/>
        <v>1</v>
      </c>
      <c r="AP19" s="294" t="b">
        <f t="shared" ca="1" si="53"/>
        <v>1</v>
      </c>
      <c r="AQ19" s="65" t="s">
        <v>22</v>
      </c>
      <c r="AR19" s="300">
        <f ca="1">IF(ISERROR(AO15),IF(ISERROR(AP15),"НЕТ",OFFSET(AF17,AP15-1,0,1)),OFFSET(AE17,AO15-1,0,1))</f>
        <v>0.15691800716051232</v>
      </c>
      <c r="AS19" s="41"/>
      <c r="AT19" s="9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" customHeight="1" x14ac:dyDescent="0.3">
      <c r="L20" s="305" t="s">
        <v>71</v>
      </c>
      <c r="M20" s="306">
        <f>E47</f>
        <v>20.198498322546911</v>
      </c>
      <c r="N20" s="88"/>
      <c r="O20" s="88">
        <v>4</v>
      </c>
      <c r="P20" s="93" t="str">
        <f t="shared" ca="1" si="27"/>
        <v>65-80</v>
      </c>
      <c r="Q20" s="93" t="str">
        <f t="shared" ca="1" si="28"/>
        <v>ПРЭМ-65</v>
      </c>
      <c r="R20" s="93">
        <f t="shared" ca="1" si="29"/>
        <v>65</v>
      </c>
      <c r="S20" s="93" t="str">
        <f t="shared" ca="1" si="30"/>
        <v>13,16</v>
      </c>
      <c r="T20" s="93">
        <f t="shared" ca="1" si="45"/>
        <v>1.6908301649265993</v>
      </c>
      <c r="U20" s="289">
        <f t="shared" ca="1" si="46"/>
        <v>274259.77703549725</v>
      </c>
      <c r="V20" s="289">
        <f t="shared" ca="1" si="47"/>
        <v>3.4705101432211762E-2</v>
      </c>
      <c r="W20" s="93">
        <f t="shared" ca="1" si="48"/>
        <v>2.1359121285165365E-2</v>
      </c>
      <c r="X20" s="93">
        <f t="shared" ca="1" si="49"/>
        <v>2.4844576664893425E-2</v>
      </c>
      <c r="Y20" s="93">
        <f t="shared" ca="1" si="50"/>
        <v>2.1359121285165365E-2</v>
      </c>
      <c r="Z20" s="290" t="e">
        <f t="shared" ca="1" si="31"/>
        <v>#N/A</v>
      </c>
      <c r="AA20" s="290">
        <f t="shared" ca="1" si="32"/>
        <v>0</v>
      </c>
      <c r="AB20" s="93">
        <f t="shared" ca="1" si="33"/>
        <v>3.0072903853304408E-2</v>
      </c>
      <c r="AC20" s="291" t="e">
        <f t="shared" ca="1" si="34"/>
        <v>#N/A</v>
      </c>
      <c r="AD20" s="93">
        <f t="shared" ca="1" si="35"/>
        <v>0</v>
      </c>
      <c r="AE20" s="93" t="e">
        <f t="shared" ca="1" si="36"/>
        <v>#N/A</v>
      </c>
      <c r="AF20" s="93">
        <f t="shared" ca="1" si="37"/>
        <v>3.0072903853304408E-2</v>
      </c>
      <c r="AG20" s="292">
        <f t="shared" ca="1" si="38"/>
        <v>0.8</v>
      </c>
      <c r="AH20" s="292">
        <f t="shared" ca="1" si="39"/>
        <v>0.48</v>
      </c>
      <c r="AI20" s="292">
        <f t="shared" ca="1" si="40"/>
        <v>0.26700000000000002</v>
      </c>
      <c r="AJ20" s="292">
        <f t="shared" ca="1" si="41"/>
        <v>120</v>
      </c>
      <c r="AK20" s="293" t="b">
        <f t="shared" ca="1" si="42"/>
        <v>1</v>
      </c>
      <c r="AL20" s="293" t="b">
        <f t="shared" ca="1" si="43"/>
        <v>1</v>
      </c>
      <c r="AM20" s="293" t="b">
        <f t="shared" ca="1" si="44"/>
        <v>1</v>
      </c>
      <c r="AN20" s="294" t="str">
        <f t="shared" ca="1" si="51"/>
        <v>D</v>
      </c>
      <c r="AO20" s="294" t="e">
        <f t="shared" ca="1" si="52"/>
        <v>#N/A</v>
      </c>
      <c r="AP20" s="294" t="b">
        <f t="shared" ca="1" si="53"/>
        <v>1</v>
      </c>
      <c r="AQ20" s="307"/>
      <c r="AR20" s="308"/>
      <c r="AS20" s="41"/>
      <c r="AT20" s="9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" customHeight="1" x14ac:dyDescent="0.3">
      <c r="L21" s="305" t="s">
        <v>72</v>
      </c>
      <c r="M21" s="306">
        <f>E48</f>
        <v>10.099249161273455</v>
      </c>
      <c r="N21" s="88"/>
      <c r="O21" s="88">
        <v>5</v>
      </c>
      <c r="P21" s="93" t="str">
        <f t="shared" ca="1" si="27"/>
        <v>80-80</v>
      </c>
      <c r="Q21" s="93" t="str">
        <f t="shared" ca="1" si="28"/>
        <v>ПРЭМ-80</v>
      </c>
      <c r="R21" s="93">
        <f t="shared" ca="1" si="29"/>
        <v>80</v>
      </c>
      <c r="S21" s="93">
        <f t="shared" ca="1" si="30"/>
        <v>0</v>
      </c>
      <c r="T21" s="93">
        <f t="shared" ca="1" si="45"/>
        <v>1.1162121010648254</v>
      </c>
      <c r="U21" s="289">
        <f t="shared" ca="1" si="46"/>
        <v>222836.0688413415</v>
      </c>
      <c r="V21" s="289">
        <f t="shared" ca="1" si="47"/>
        <v>3.248549788373601E-2</v>
      </c>
      <c r="W21" s="93">
        <f t="shared" ca="1" si="48"/>
        <v>0</v>
      </c>
      <c r="X21" s="93">
        <f t="shared" ca="1" si="49"/>
        <v>0</v>
      </c>
      <c r="Y21" s="93">
        <f t="shared" ca="1" si="50"/>
        <v>0</v>
      </c>
      <c r="Z21" s="290" t="e">
        <f t="shared" ca="1" si="31"/>
        <v>#N/A</v>
      </c>
      <c r="AA21" s="290">
        <f t="shared" ca="1" si="32"/>
        <v>0</v>
      </c>
      <c r="AB21" s="93">
        <f t="shared" ca="1" si="33"/>
        <v>8.2517102261995164E-3</v>
      </c>
      <c r="AC21" s="291" t="e">
        <f t="shared" ca="1" si="34"/>
        <v>#N/A</v>
      </c>
      <c r="AD21" s="93">
        <f t="shared" ca="1" si="35"/>
        <v>0</v>
      </c>
      <c r="AE21" s="93" t="e">
        <f t="shared" ca="1" si="36"/>
        <v>#N/A</v>
      </c>
      <c r="AF21" s="93">
        <f t="shared" ca="1" si="37"/>
        <v>8.2517102261995164E-3</v>
      </c>
      <c r="AG21" s="292">
        <f t="shared" ca="1" si="38"/>
        <v>1.2</v>
      </c>
      <c r="AH21" s="292">
        <f t="shared" ca="1" si="39"/>
        <v>0.72</v>
      </c>
      <c r="AI21" s="292">
        <f t="shared" ca="1" si="40"/>
        <v>0.4</v>
      </c>
      <c r="AJ21" s="292">
        <f t="shared" ca="1" si="41"/>
        <v>180</v>
      </c>
      <c r="AK21" s="293" t="b">
        <f t="shared" ca="1" si="42"/>
        <v>1</v>
      </c>
      <c r="AL21" s="293" t="b">
        <f t="shared" ca="1" si="43"/>
        <v>1</v>
      </c>
      <c r="AM21" s="293" t="b">
        <f t="shared" ca="1" si="44"/>
        <v>1</v>
      </c>
      <c r="AN21" s="294" t="str">
        <f t="shared" ca="1" si="51"/>
        <v>D</v>
      </c>
      <c r="AO21" s="294" t="e">
        <f t="shared" ca="1" si="52"/>
        <v>#N/A</v>
      </c>
      <c r="AP21" s="294" t="b">
        <f t="shared" ca="1" si="53"/>
        <v>1</v>
      </c>
      <c r="AQ21" s="311"/>
      <c r="AR21" s="312"/>
      <c r="AS21" s="41"/>
      <c r="AT21" s="259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" customHeight="1" x14ac:dyDescent="0.3">
      <c r="L22" s="305" t="s">
        <v>73</v>
      </c>
      <c r="M22" s="315">
        <f>E60</f>
        <v>4.0072941759157111E-7</v>
      </c>
      <c r="N22" s="88"/>
      <c r="O22" s="88">
        <v>6</v>
      </c>
      <c r="P22" s="93" t="str">
        <f t="shared" ca="1" si="27"/>
        <v>---</v>
      </c>
      <c r="Q22" s="93" t="str">
        <f t="shared" ca="1" si="28"/>
        <v>---</v>
      </c>
      <c r="R22" s="93" t="str">
        <f t="shared" ca="1" si="29"/>
        <v>---</v>
      </c>
      <c r="S22" s="93" t="str">
        <f t="shared" ca="1" si="30"/>
        <v>---</v>
      </c>
      <c r="T22" s="93" t="str">
        <f t="shared" ca="1" si="45"/>
        <v>---</v>
      </c>
      <c r="U22" s="289" t="str">
        <f t="shared" ca="1" si="46"/>
        <v>---</v>
      </c>
      <c r="V22" s="289" t="str">
        <f t="shared" ca="1" si="47"/>
        <v>---</v>
      </c>
      <c r="W22" s="93" t="str">
        <f t="shared" ca="1" si="48"/>
        <v>---</v>
      </c>
      <c r="X22" s="93" t="str">
        <f t="shared" ca="1" si="49"/>
        <v>---</v>
      </c>
      <c r="Y22" s="93" t="str">
        <f t="shared" ca="1" si="50"/>
        <v>---</v>
      </c>
      <c r="Z22" s="290" t="str">
        <f t="shared" ca="1" si="31"/>
        <v>---</v>
      </c>
      <c r="AA22" s="290" t="str">
        <f t="shared" ca="1" si="32"/>
        <v>---</v>
      </c>
      <c r="AB22" s="93" t="str">
        <f t="shared" ca="1" si="33"/>
        <v>--</v>
      </c>
      <c r="AC22" s="291" t="str">
        <f t="shared" ca="1" si="34"/>
        <v>--</v>
      </c>
      <c r="AD22" s="93" t="str">
        <f t="shared" ca="1" si="35"/>
        <v>--</v>
      </c>
      <c r="AE22" s="93" t="str">
        <f t="shared" ca="1" si="36"/>
        <v>---</v>
      </c>
      <c r="AF22" s="93" t="str">
        <f t="shared" ca="1" si="37"/>
        <v>---</v>
      </c>
      <c r="AG22" s="292" t="str">
        <f t="shared" ca="1" si="38"/>
        <v>---</v>
      </c>
      <c r="AH22" s="292" t="str">
        <f t="shared" ca="1" si="39"/>
        <v>---</v>
      </c>
      <c r="AI22" s="292" t="str">
        <f t="shared" ca="1" si="40"/>
        <v>---</v>
      </c>
      <c r="AJ22" s="292" t="str">
        <f t="shared" ca="1" si="41"/>
        <v>---</v>
      </c>
      <c r="AK22" s="293" t="str">
        <f t="shared" ca="1" si="42"/>
        <v>---</v>
      </c>
      <c r="AL22" s="293" t="str">
        <f t="shared" ca="1" si="43"/>
        <v>---</v>
      </c>
      <c r="AM22" s="293" t="str">
        <f t="shared" ca="1" si="44"/>
        <v>---</v>
      </c>
      <c r="AN22" s="294" t="str">
        <f t="shared" ca="1" si="51"/>
        <v>---</v>
      </c>
      <c r="AO22" s="294" t="str">
        <f t="shared" ca="1" si="52"/>
        <v>---</v>
      </c>
      <c r="AP22" s="294" t="str">
        <f t="shared" ca="1" si="53"/>
        <v>---</v>
      </c>
      <c r="AQ22" s="91"/>
      <c r="AS22" s="41"/>
      <c r="AT22" s="259"/>
      <c r="AU22" s="258"/>
      <c r="AV22" s="258"/>
      <c r="AW22" s="349"/>
      <c r="AX22" s="349"/>
      <c r="AY22" s="258"/>
      <c r="AZ22" s="258"/>
      <c r="BA22" s="258"/>
      <c r="BB22" s="258"/>
      <c r="BC22" s="349"/>
    </row>
    <row r="23" spans="2:55" ht="18" customHeight="1" thickBot="1" x14ac:dyDescent="0.35">
      <c r="L23" s="318" t="s">
        <v>102</v>
      </c>
      <c r="M23" s="319">
        <f>(M20/3.6)/((PI()*M19^2)/4000)</f>
        <v>1.1162121010648254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30"/>
        <v>---</v>
      </c>
      <c r="T23" s="93" t="str">
        <f t="shared" ca="1" si="45"/>
        <v>---</v>
      </c>
      <c r="U23" s="289" t="str">
        <f t="shared" ca="1" si="46"/>
        <v>---</v>
      </c>
      <c r="V23" s="289" t="str">
        <f t="shared" ca="1" si="47"/>
        <v>---</v>
      </c>
      <c r="W23" s="93" t="str">
        <f t="shared" ca="1" si="48"/>
        <v>---</v>
      </c>
      <c r="X23" s="93" t="str">
        <f t="shared" ca="1" si="49"/>
        <v>---</v>
      </c>
      <c r="Y23" s="93" t="str">
        <f t="shared" ca="1" si="50"/>
        <v>---</v>
      </c>
      <c r="Z23" s="290" t="str">
        <f t="shared" ca="1" si="31"/>
        <v>---</v>
      </c>
      <c r="AA23" s="290" t="str">
        <f t="shared" ca="1" si="32"/>
        <v>---</v>
      </c>
      <c r="AB23" s="93" t="str">
        <f t="shared" ca="1" si="33"/>
        <v>--</v>
      </c>
      <c r="AC23" s="291" t="str">
        <f t="shared" ca="1" si="34"/>
        <v>--</v>
      </c>
      <c r="AD23" s="93" t="str">
        <f t="shared" ca="1" si="35"/>
        <v>--</v>
      </c>
      <c r="AE23" s="93" t="str">
        <f t="shared" ca="1" si="36"/>
        <v>---</v>
      </c>
      <c r="AF23" s="93" t="str">
        <f t="shared" ca="1" si="37"/>
        <v>---</v>
      </c>
      <c r="AG23" s="292" t="str">
        <f t="shared" ca="1" si="38"/>
        <v>---</v>
      </c>
      <c r="AH23" s="292" t="str">
        <f t="shared" ca="1" si="39"/>
        <v>---</v>
      </c>
      <c r="AI23" s="292" t="str">
        <f t="shared" ca="1" si="40"/>
        <v>---</v>
      </c>
      <c r="AJ23" s="292" t="str">
        <f t="shared" ca="1" si="41"/>
        <v>---</v>
      </c>
      <c r="AK23" s="293" t="str">
        <f t="shared" ca="1" si="42"/>
        <v>---</v>
      </c>
      <c r="AL23" s="293" t="str">
        <f t="shared" ca="1" si="43"/>
        <v>---</v>
      </c>
      <c r="AM23" s="293" t="str">
        <f t="shared" ca="1" si="44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259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2:55" ht="18" customHeight="1" thickBot="1" x14ac:dyDescent="0.35">
      <c r="O24" s="88">
        <v>8</v>
      </c>
      <c r="P24" s="93" t="str">
        <f t="shared" ca="1" si="27"/>
        <v>---</v>
      </c>
      <c r="Q24" s="93" t="str">
        <f t="shared" ca="1" si="28"/>
        <v>---</v>
      </c>
      <c r="R24" s="93" t="str">
        <f t="shared" ca="1" si="29"/>
        <v>---</v>
      </c>
      <c r="S24" s="93" t="str">
        <f t="shared" ca="1" si="30"/>
        <v>---</v>
      </c>
      <c r="T24" s="93" t="str">
        <f t="shared" ca="1" si="45"/>
        <v>---</v>
      </c>
      <c r="U24" s="289" t="str">
        <f t="shared" ca="1" si="46"/>
        <v>---</v>
      </c>
      <c r="V24" s="289" t="str">
        <f t="shared" ca="1" si="47"/>
        <v>---</v>
      </c>
      <c r="W24" s="93" t="str">
        <f t="shared" ca="1" si="48"/>
        <v>---</v>
      </c>
      <c r="X24" s="93" t="str">
        <f t="shared" ca="1" si="49"/>
        <v>---</v>
      </c>
      <c r="Y24" s="93" t="str">
        <f t="shared" ca="1" si="50"/>
        <v>---</v>
      </c>
      <c r="Z24" s="290" t="str">
        <f t="shared" ca="1" si="31"/>
        <v>---</v>
      </c>
      <c r="AA24" s="290" t="str">
        <f t="shared" ca="1" si="32"/>
        <v>---</v>
      </c>
      <c r="AB24" s="93" t="str">
        <f t="shared" ca="1" si="33"/>
        <v>--</v>
      </c>
      <c r="AC24" s="291" t="str">
        <f t="shared" ca="1" si="34"/>
        <v>--</v>
      </c>
      <c r="AD24" s="93" t="str">
        <f t="shared" ca="1" si="35"/>
        <v>--</v>
      </c>
      <c r="AE24" s="93" t="str">
        <f t="shared" ca="1" si="36"/>
        <v>---</v>
      </c>
      <c r="AF24" s="93" t="str">
        <f t="shared" ca="1" si="37"/>
        <v>---</v>
      </c>
      <c r="AG24" s="292" t="str">
        <f t="shared" ca="1" si="38"/>
        <v>---</v>
      </c>
      <c r="AH24" s="292" t="str">
        <f t="shared" ca="1" si="39"/>
        <v>---</v>
      </c>
      <c r="AI24" s="292" t="str">
        <f t="shared" ca="1" si="40"/>
        <v>---</v>
      </c>
      <c r="AJ24" s="292" t="str">
        <f t="shared" ca="1" si="41"/>
        <v>---</v>
      </c>
      <c r="AK24" s="293" t="str">
        <f t="shared" ca="1" si="42"/>
        <v>---</v>
      </c>
      <c r="AL24" s="293" t="str">
        <f t="shared" ca="1" si="43"/>
        <v>---</v>
      </c>
      <c r="AM24" s="293" t="str">
        <f t="shared" ca="1" si="44"/>
        <v>---</v>
      </c>
      <c r="AN24" s="294" t="str">
        <f t="shared" ca="1" si="51"/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259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2:55" ht="25" customHeight="1" thickBot="1" x14ac:dyDescent="0.35">
      <c r="B25" s="800" t="s">
        <v>447</v>
      </c>
      <c r="C25" s="801"/>
      <c r="D25" s="801"/>
      <c r="E25" s="833"/>
      <c r="F25" s="831" t="s">
        <v>449</v>
      </c>
      <c r="G25" s="845"/>
      <c r="H25" s="846"/>
      <c r="O25" s="88">
        <v>9</v>
      </c>
      <c r="P25" s="93" t="str">
        <f t="shared" ca="1" si="27"/>
        <v>---</v>
      </c>
      <c r="Q25" s="93" t="str">
        <f t="shared" ca="1" si="28"/>
        <v>---</v>
      </c>
      <c r="R25" s="93" t="str">
        <f t="shared" ca="1" si="29"/>
        <v>---</v>
      </c>
      <c r="S25" s="93" t="str">
        <f t="shared" ca="1" si="30"/>
        <v>---</v>
      </c>
      <c r="T25" s="93" t="str">
        <f t="shared" ca="1" si="45"/>
        <v>---</v>
      </c>
      <c r="U25" s="289" t="str">
        <f t="shared" ca="1" si="46"/>
        <v>---</v>
      </c>
      <c r="V25" s="289" t="str">
        <f ca="1">IF(O25&lt;=$N$4,(1/(1.14+2*LOG((R25/$M$4),10))^2),"---")</f>
        <v>---</v>
      </c>
      <c r="W25" s="93" t="str">
        <f t="shared" ca="1" si="48"/>
        <v>---</v>
      </c>
      <c r="X25" s="93" t="str">
        <f t="shared" ca="1" si="49"/>
        <v>---</v>
      </c>
      <c r="Y25" s="93" t="str">
        <f t="shared" ca="1" si="50"/>
        <v>---</v>
      </c>
      <c r="Z25" s="290" t="str">
        <f t="shared" ca="1" si="31"/>
        <v>---</v>
      </c>
      <c r="AA25" s="290" t="str">
        <f t="shared" ca="1" si="32"/>
        <v>---</v>
      </c>
      <c r="AB25" s="93" t="str">
        <f t="shared" ca="1" si="33"/>
        <v>--</v>
      </c>
      <c r="AC25" s="291" t="str">
        <f t="shared" ca="1" si="34"/>
        <v>--</v>
      </c>
      <c r="AD25" s="93" t="str">
        <f t="shared" ca="1" si="35"/>
        <v>--</v>
      </c>
      <c r="AE25" s="93" t="str">
        <f t="shared" ca="1" si="36"/>
        <v>---</v>
      </c>
      <c r="AF25" s="93" t="str">
        <f t="shared" ca="1" si="37"/>
        <v>---</v>
      </c>
      <c r="AG25" s="292" t="str">
        <f t="shared" ca="1" si="38"/>
        <v>---</v>
      </c>
      <c r="AH25" s="292" t="str">
        <f t="shared" ca="1" si="39"/>
        <v>---</v>
      </c>
      <c r="AI25" s="292" t="str">
        <f t="shared" ca="1" si="40"/>
        <v>---</v>
      </c>
      <c r="AJ25" s="292" t="str">
        <f t="shared" ca="1" si="41"/>
        <v>---</v>
      </c>
      <c r="AK25" s="293" t="str">
        <f t="shared" ca="1" si="42"/>
        <v>---</v>
      </c>
      <c r="AL25" s="293" t="str">
        <f t="shared" ca="1" si="43"/>
        <v>---</v>
      </c>
      <c r="AM25" s="293" t="str">
        <f t="shared" ca="1" si="44"/>
        <v>---</v>
      </c>
      <c r="AN25" s="294" t="str">
        <f t="shared" ca="1" si="51"/>
        <v>---</v>
      </c>
      <c r="AO25" s="294" t="str">
        <f t="shared" ca="1" si="52"/>
        <v>---</v>
      </c>
      <c r="AP25" s="294" t="str">
        <f t="shared" ca="1" si="53"/>
        <v>---</v>
      </c>
      <c r="AT25" s="259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2:55" ht="18" customHeight="1" thickBot="1" x14ac:dyDescent="0.35">
      <c r="O26" s="88">
        <v>10</v>
      </c>
      <c r="P26" s="93" t="str">
        <f t="shared" ca="1" si="27"/>
        <v>---</v>
      </c>
      <c r="Q26" s="93" t="str">
        <f t="shared" ca="1" si="28"/>
        <v>---</v>
      </c>
      <c r="R26" s="93" t="str">
        <f t="shared" ca="1" si="29"/>
        <v>---</v>
      </c>
      <c r="S26" s="93" t="str">
        <f t="shared" ca="1" si="30"/>
        <v>---</v>
      </c>
      <c r="T26" s="93" t="str">
        <f t="shared" ca="1" si="45"/>
        <v>---</v>
      </c>
      <c r="U26" s="289" t="str">
        <f t="shared" ca="1" si="46"/>
        <v>---</v>
      </c>
      <c r="V26" s="289" t="str">
        <f ca="1">IF(O26&lt;=$N$4,(1/(1.14+2*LOG((R26/$M$4),10))^2),"---")</f>
        <v>---</v>
      </c>
      <c r="W26" s="93" t="str">
        <f t="shared" ca="1" si="48"/>
        <v>---</v>
      </c>
      <c r="X26" s="93" t="str">
        <f t="shared" ca="1" si="49"/>
        <v>---</v>
      </c>
      <c r="Y26" s="93" t="str">
        <f t="shared" ca="1" si="50"/>
        <v>---</v>
      </c>
      <c r="Z26" s="290" t="str">
        <f t="shared" ca="1" si="31"/>
        <v>---</v>
      </c>
      <c r="AA26" s="290" t="str">
        <f t="shared" ca="1" si="32"/>
        <v>---</v>
      </c>
      <c r="AB26" s="93" t="str">
        <f t="shared" ca="1" si="33"/>
        <v>--</v>
      </c>
      <c r="AC26" s="291" t="str">
        <f t="shared" ca="1" si="34"/>
        <v>--</v>
      </c>
      <c r="AD26" s="93" t="str">
        <f t="shared" ca="1" si="35"/>
        <v>--</v>
      </c>
      <c r="AE26" s="93" t="str">
        <f t="shared" ca="1" si="36"/>
        <v>---</v>
      </c>
      <c r="AF26" s="93" t="str">
        <f t="shared" ca="1" si="37"/>
        <v>---</v>
      </c>
      <c r="AG26" s="292" t="str">
        <f t="shared" ca="1" si="38"/>
        <v>---</v>
      </c>
      <c r="AH26" s="292" t="str">
        <f t="shared" ca="1" si="39"/>
        <v>---</v>
      </c>
      <c r="AI26" s="292" t="str">
        <f t="shared" ca="1" si="40"/>
        <v>---</v>
      </c>
      <c r="AJ26" s="292" t="str">
        <f t="shared" ca="1" si="41"/>
        <v>---</v>
      </c>
      <c r="AK26" s="293" t="str">
        <f t="shared" ca="1" si="42"/>
        <v>---</v>
      </c>
      <c r="AL26" s="293" t="str">
        <f t="shared" ca="1" si="43"/>
        <v>---</v>
      </c>
      <c r="AM26" s="293" t="str">
        <f t="shared" ca="1" si="44"/>
        <v>---</v>
      </c>
      <c r="AN26" s="294" t="str">
        <f ca="1">IF($O26&lt;=$N$17,IF(AK26,"D",IF(AL26,"C1",IF(AM26,"B1","НЕТ"))),"---")</f>
        <v>---</v>
      </c>
      <c r="AO26" s="294" t="str">
        <f t="shared" ca="1" si="52"/>
        <v>---</v>
      </c>
      <c r="AP26" s="294" t="str">
        <f t="shared" ca="1" si="53"/>
        <v>---</v>
      </c>
      <c r="AT26" s="91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2:55" ht="25" customHeight="1" thickBot="1" x14ac:dyDescent="0.35">
      <c r="B27" s="800" t="s">
        <v>17</v>
      </c>
      <c r="C27" s="801"/>
      <c r="D27" s="801"/>
      <c r="E27" s="801"/>
      <c r="F27" s="801"/>
      <c r="G27" s="801"/>
      <c r="H27" s="409"/>
      <c r="Z27" s="322"/>
      <c r="AA27" s="322"/>
      <c r="AN27" s="41"/>
      <c r="AO27" s="41"/>
      <c r="AP27" s="39"/>
      <c r="AQ27" s="39"/>
      <c r="AR27" s="39"/>
      <c r="AS27" s="39"/>
      <c r="AT27" s="104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2:55" ht="18" customHeight="1" thickBot="1" x14ac:dyDescent="0.45">
      <c r="D28" s="811" t="s">
        <v>43</v>
      </c>
      <c r="E28" s="812"/>
      <c r="F28" s="324"/>
      <c r="G28" s="848" t="s">
        <v>42</v>
      </c>
      <c r="H28" s="849"/>
      <c r="I28" s="8"/>
      <c r="N28" s="262"/>
      <c r="O28" s="263" t="s">
        <v>406</v>
      </c>
      <c r="P28" s="264">
        <f>MATCH(M32,DyTr_New,0)</f>
        <v>22</v>
      </c>
      <c r="Q28" s="265">
        <f ca="1">MATCH(TRUE,AO30:AO39,0)</f>
        <v>5</v>
      </c>
      <c r="R28" s="266" t="s">
        <v>103</v>
      </c>
      <c r="S28" s="267"/>
      <c r="U28" s="268">
        <f ca="1">MATCH(TRUE,AO30:AO39,0)</f>
        <v>5</v>
      </c>
      <c r="V28" s="269" t="s">
        <v>407</v>
      </c>
      <c r="W28" s="270"/>
      <c r="X28" s="270"/>
      <c r="Y28" s="270"/>
      <c r="Z28" s="838" t="s">
        <v>206</v>
      </c>
      <c r="AA28" s="838"/>
      <c r="AB28" s="258"/>
      <c r="AG28" s="826" t="s">
        <v>75</v>
      </c>
      <c r="AH28" s="826"/>
      <c r="AI28" s="826"/>
      <c r="AJ28" s="271" t="s">
        <v>66</v>
      </c>
      <c r="AK28" s="810" t="s">
        <v>65</v>
      </c>
      <c r="AL28" s="810"/>
      <c r="AM28" s="810"/>
      <c r="AN28" s="272"/>
      <c r="AO28" s="273">
        <f ca="1">MATCH(TRUE,AO30:AO39,0)</f>
        <v>5</v>
      </c>
      <c r="AP28" s="273">
        <f ca="1">MATCH(TRUE,AP30:AP39,0)</f>
        <v>5</v>
      </c>
      <c r="AQ28" s="802" t="s">
        <v>69</v>
      </c>
      <c r="AR28" s="803"/>
      <c r="AS28" s="259"/>
      <c r="AT28" s="259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2:55" ht="18" customHeight="1" thickBot="1" x14ac:dyDescent="0.45">
      <c r="B29" s="821" t="s">
        <v>68</v>
      </c>
      <c r="C29" s="822"/>
      <c r="D29" s="804">
        <v>0.5</v>
      </c>
      <c r="E29" s="805"/>
      <c r="F29" s="748"/>
      <c r="G29" s="841">
        <v>0.8</v>
      </c>
      <c r="H29" s="847"/>
      <c r="I29" s="56"/>
      <c r="L29" s="277" t="s">
        <v>77</v>
      </c>
      <c r="M29" s="278" t="s">
        <v>90</v>
      </c>
      <c r="N29" s="279" t="s">
        <v>97</v>
      </c>
      <c r="O29" s="88"/>
      <c r="P29" s="280" t="s">
        <v>93</v>
      </c>
      <c r="Q29" s="280" t="s">
        <v>92</v>
      </c>
      <c r="R29" s="280" t="s">
        <v>408</v>
      </c>
      <c r="S29" s="66" t="s">
        <v>61</v>
      </c>
      <c r="T29" s="280" t="s">
        <v>18</v>
      </c>
      <c r="U29" s="63" t="s">
        <v>20</v>
      </c>
      <c r="V29" s="62" t="s">
        <v>21</v>
      </c>
      <c r="W29" s="63" t="s">
        <v>62</v>
      </c>
      <c r="X29" s="64" t="s">
        <v>63</v>
      </c>
      <c r="Y29" s="64" t="s">
        <v>64</v>
      </c>
      <c r="Z29" s="117" t="s">
        <v>204</v>
      </c>
      <c r="AA29" s="117" t="s">
        <v>205</v>
      </c>
      <c r="AB29" s="63" t="s">
        <v>227</v>
      </c>
      <c r="AC29" s="63" t="s">
        <v>225</v>
      </c>
      <c r="AD29" s="63" t="s">
        <v>226</v>
      </c>
      <c r="AE29" s="63" t="s">
        <v>228</v>
      </c>
      <c r="AF29" s="63" t="s">
        <v>229</v>
      </c>
      <c r="AG29" s="281" t="s">
        <v>351</v>
      </c>
      <c r="AH29" s="281" t="s">
        <v>352</v>
      </c>
      <c r="AI29" s="281" t="s">
        <v>353</v>
      </c>
      <c r="AJ29" s="281"/>
      <c r="AK29" s="281" t="s">
        <v>351</v>
      </c>
      <c r="AL29" s="281" t="s">
        <v>352</v>
      </c>
      <c r="AM29" s="281" t="s">
        <v>353</v>
      </c>
      <c r="AN29" s="281" t="s">
        <v>67</v>
      </c>
      <c r="AO29" s="281" t="s">
        <v>230</v>
      </c>
      <c r="AP29" s="281" t="s">
        <v>231</v>
      </c>
      <c r="AQ29" s="282" t="s">
        <v>409</v>
      </c>
      <c r="AR29" s="283" t="str">
        <f ca="1">IF(ISERROR(AO28),IF(ISERROR(AP28),"НЕТ",OFFSET(Q30,AP28-1,0,1)&amp;"-"&amp;OFFSET(AN30,AP28-1,0,1)&amp;"-Фланец"),OFFSET(Q30,AO28-1,0,1)&amp;"-"&amp;OFFSET(AN30,AO28-1,0,1)&amp;"-Cэндвич")</f>
        <v>ПРЭМ-40-D-Cэндвич</v>
      </c>
      <c r="AT29" s="284" t="str">
        <f ca="1">IF(ISERROR(AO28),IF(ISERROR(AP28),"НЕТ",OFFSET(Q30,AP28-1,0,1)&amp;"-"&amp;OFFSET(AN30,AP28-1,0,1)),OFFSET(Q30,AO28-1,0,1)&amp;"-"&amp;OFFSET(AN30,AO28-1,0,1))</f>
        <v>ПРЭМ-40-D</v>
      </c>
      <c r="AU29" s="46"/>
      <c r="AV29" s="46"/>
      <c r="AW29" s="46"/>
      <c r="AX29" s="46"/>
      <c r="AY29" s="46"/>
      <c r="AZ29" s="46"/>
      <c r="BA29" s="46"/>
      <c r="BB29" s="46"/>
      <c r="BC29" s="46"/>
    </row>
    <row r="30" spans="2:55" ht="18" customHeight="1" thickBot="1" x14ac:dyDescent="0.45">
      <c r="B30" s="821" t="s">
        <v>31</v>
      </c>
      <c r="C30" s="822"/>
      <c r="D30" s="804" t="s">
        <v>36</v>
      </c>
      <c r="E30" s="805"/>
      <c r="F30" s="327"/>
      <c r="G30" s="804" t="s">
        <v>60</v>
      </c>
      <c r="H30" s="805"/>
      <c r="I30" s="8"/>
      <c r="L30" s="287" t="s">
        <v>74</v>
      </c>
      <c r="M30" s="288">
        <v>0.5</v>
      </c>
      <c r="N30" s="88">
        <f ca="1">OFFSET(DyTr_New,P28-1,1,1)</f>
        <v>7</v>
      </c>
      <c r="O30" s="88">
        <v>1</v>
      </c>
      <c r="P30" s="93" t="str">
        <f t="shared" ref="P30:P39" ca="1" si="54">IF(O30&lt;=$N$30,OFFSET(DyTr_New,$P$28-2+O30,4,1),"---")</f>
        <v>15-65</v>
      </c>
      <c r="Q30" s="93" t="str">
        <f t="shared" ref="Q30:Q39" ca="1" si="55">IF(O30&lt;=$N$30,OFFSET(DyTr_New,$P$28-2+O30,2,1),"---")</f>
        <v>ПРЭМ-15</v>
      </c>
      <c r="R30" s="93">
        <f t="shared" ref="R30:R39" ca="1" si="56">IF(O30&lt;=$N$30,OFFSET(DyTr_New,$P$28-2+O30,5,1),"---")</f>
        <v>15</v>
      </c>
      <c r="S30" s="93" t="str">
        <f t="shared" ref="S30:S39" ca="1" si="57">IF(O30&lt;=$N$30,OFFSET(DyTr_New,$P$28-2+O30,6,1),"---")</f>
        <v>31,04</v>
      </c>
      <c r="T30" s="93">
        <f ca="1">IF(O30&lt;=$N$30,($M$33/3.6)/((PI()*R30^2)/4000),"---")</f>
        <v>18.417028491099526</v>
      </c>
      <c r="U30" s="289">
        <f ca="1">IF(O30&lt;=$N$30,(T30*R30/$M$35/1000),"---")</f>
        <v>740399.46526981751</v>
      </c>
      <c r="V30" s="289">
        <f ca="1">IF(O30&lt;=$N$30,(1/(1.14+2*LOG((R30/$M$30),10))^2),"---")</f>
        <v>5.9655827422120798E-2</v>
      </c>
      <c r="W30" s="93">
        <f ca="1">IF(O30&lt;=$N$30,(IF(S30=0,0,(V30/(8*SIN(RADIANS(S30/2))))*(1-(R30/$M$32)^4))),"---")</f>
        <v>2.7789732487806255E-2</v>
      </c>
      <c r="X30" s="93">
        <f ca="1">IF(O30&lt;=$N$30,(3.2*TAN(RADIANS(S30/2))^1.25*(1-(R30/$M$32)^2)^2),"---")</f>
        <v>0.5782123280878656</v>
      </c>
      <c r="Y30" s="93">
        <f ca="1">IF(O30&lt;=$N$30,(IF(S30=0,0,V30/(8*SIN(RADIANS(S30/2)))*(1-(R30/$M$32)^4))),"---")</f>
        <v>2.7789732487806255E-2</v>
      </c>
      <c r="Z30" s="290">
        <f t="shared" ref="Z30:Z39" ca="1" si="58">IF(O30&lt;=$N$30,VLOOKUP(Q30&amp;"-Сэндвич",TypePFlow,3,FALSE),"---")</f>
        <v>0</v>
      </c>
      <c r="AA30" s="290">
        <f t="shared" ref="AA30:AA39" ca="1" si="59">IF(O30&lt;=$N$30,VLOOKUP(Q30&amp;"-Фланец",TypePFlow,3,FALSE),"---")</f>
        <v>0</v>
      </c>
      <c r="AB30" s="93">
        <f t="shared" ref="AB30:AB39" ca="1" si="60">IF(O30&lt;=$N$30,(V30*4+W30+X30+Y30)*T30^2/(2*9.81),"--")</f>
        <v>15.082151261619567</v>
      </c>
      <c r="AC30" s="291">
        <f t="shared" ref="AC30:AC39" ca="1" si="61">IF(O30&lt;=$N$30,(Z30*$M$33^2),"--")</f>
        <v>0</v>
      </c>
      <c r="AD30" s="93">
        <f t="shared" ref="AD30:AD39" ca="1" si="62">IF(O30&lt;=$N$30,(AA30*$M$33^2),"--")</f>
        <v>0</v>
      </c>
      <c r="AE30" s="93">
        <f t="shared" ref="AE30:AE39" ca="1" si="63">IF(O30&lt;=$N$30,(AB30+AC30),"---")</f>
        <v>15.082151261619567</v>
      </c>
      <c r="AF30" s="93">
        <f t="shared" ref="AF30:AF39" ca="1" si="64">IF(O30&lt;=$N$30,(AB30+AD30),"---")</f>
        <v>15.082151261619567</v>
      </c>
      <c r="AG30" s="292">
        <f t="shared" ref="AG30:AG39" ca="1" si="65">IF(O30&lt;=$N$30,VLOOKUP(Q30&amp;"-D",ParamPiterflow,2,FALSE),"---")</f>
        <v>0.04</v>
      </c>
      <c r="AH30" s="292">
        <f t="shared" ref="AH30:AH39" ca="1" si="66">IF(O30&lt;=$N$30,VLOOKUP(Q30&amp;"-C1",ParamPiterflow,2,FALSE),"---")</f>
        <v>2.4E-2</v>
      </c>
      <c r="AI30" s="292">
        <f t="shared" ref="AI30:AI39" ca="1" si="67">IF(O30&lt;=$N$30,VLOOKUP(Q30&amp;"-B1",ParamPiterflow,2,FALSE),"---")</f>
        <v>1.2999999999999999E-2</v>
      </c>
      <c r="AJ30" s="292">
        <f t="shared" ref="AJ30:AJ39" ca="1" si="68">IF(O30&lt;=$N$30,VLOOKUP(Q30&amp;"-D",ParamPiterflow,4,FALSE),"---")</f>
        <v>6</v>
      </c>
      <c r="AK30" s="293" t="b">
        <f t="shared" ref="AK30:AK39" ca="1" si="69">IF($O30&lt;=$N$30,AND(AG30&lt;$M$34,$AJ30&gt;$M$33),"---")</f>
        <v>0</v>
      </c>
      <c r="AL30" s="293" t="b">
        <f t="shared" ref="AL30:AL39" ca="1" si="70">IF($O30&lt;=$N$30,AND(AH30&lt;$M$34,$AJ30&gt;$M$33),"---")</f>
        <v>0</v>
      </c>
      <c r="AM30" s="293" t="b">
        <f t="shared" ref="AM30:AM39" ca="1" si="71">IF($O30&lt;=$N$30,AND(AI30&lt;$M$34,$AJ30&gt;$M$33),"---")</f>
        <v>0</v>
      </c>
      <c r="AN30" s="294" t="str">
        <f ca="1">IF($O30&lt;=$N$30,IF(AK30,"D",IF(AL30,"C1",IF(AM30,"B1","НЕТ"))),"---")</f>
        <v>НЕТ</v>
      </c>
      <c r="AO30" s="294" t="b">
        <f ca="1">IF($O30&lt;=$N$30,AND(AE30&lt;$M$31,NOT(AN30="НЕТ"),IF($F$25="Экономный",T30&lt;=3,IF(AND($F$25="Оптимальный",T30&gt;$G$50),T30&lt;=1.8,IF(AND($F$25="Затратный",T30&gt;$G$50),T30&lt;=1,T30&lt;=3)))),"---")</f>
        <v>0</v>
      </c>
      <c r="AP30" s="294" t="b">
        <f ca="1">IF($O30&lt;=$N$30,AND(AF30&lt;$M$31,NOT(AN30="НЕТ"),IF($F$25="Экономный",T30&lt;=3,IF(AND($F$25="Оптимальный",T30&gt;$G$50),T30&lt;=1.8,IF(AND($F$25="Затратный",T30&gt;$G$50),T30&lt;=1,T30&lt;=3)))),"---")</f>
        <v>0</v>
      </c>
      <c r="AQ30" s="295"/>
      <c r="AR30" s="296"/>
      <c r="AS30" s="259"/>
      <c r="AT30" s="259">
        <f ca="1">IF(ISERROR(AO28),IF(ISERROR(AP28),"НЕТ",AP28),AO28)</f>
        <v>5</v>
      </c>
      <c r="AU30" s="50"/>
      <c r="AV30" s="50"/>
      <c r="AW30" s="50"/>
      <c r="AX30" s="50"/>
      <c r="AY30" s="50"/>
      <c r="AZ30" s="50"/>
      <c r="BA30" s="50"/>
      <c r="BB30" s="50"/>
      <c r="BC30" s="50"/>
    </row>
    <row r="31" spans="2:55" ht="18" customHeight="1" x14ac:dyDescent="0.4">
      <c r="B31" s="821" t="s">
        <v>23</v>
      </c>
      <c r="C31" s="822"/>
      <c r="D31" s="94">
        <v>0.5</v>
      </c>
      <c r="E31" s="94">
        <v>0.5</v>
      </c>
      <c r="F31" s="328"/>
      <c r="G31" s="94">
        <v>0.5</v>
      </c>
      <c r="H31" s="94">
        <v>0.5</v>
      </c>
      <c r="I31" s="329"/>
      <c r="L31" s="297" t="s">
        <v>189</v>
      </c>
      <c r="M31" s="298">
        <f>G31</f>
        <v>0.5</v>
      </c>
      <c r="N31" s="88"/>
      <c r="O31" s="88">
        <v>2</v>
      </c>
      <c r="P31" s="93" t="str">
        <f t="shared" ca="1" si="54"/>
        <v>20-65</v>
      </c>
      <c r="Q31" s="93" t="str">
        <f t="shared" ca="1" si="55"/>
        <v>ПРЭМ-20</v>
      </c>
      <c r="R31" s="93">
        <f t="shared" ca="1" si="56"/>
        <v>20</v>
      </c>
      <c r="S31" s="93" t="str">
        <f t="shared" ca="1" si="57"/>
        <v>22,14</v>
      </c>
      <c r="T31" s="93">
        <f t="shared" ref="T31:T39" ca="1" si="72">IF(O31&lt;=$N$30,($M$33/3.6)/((PI()*R31^2)/4000),"---")</f>
        <v>10.359578526243483</v>
      </c>
      <c r="U31" s="289">
        <f t="shared" ref="U31:U39" ca="1" si="73">IF(O31&lt;=$N$30,(T31*R31/$M$35/1000),"---")</f>
        <v>555299.59895236313</v>
      </c>
      <c r="V31" s="289">
        <f t="shared" ref="V31:V39" ca="1" si="74">IF(O31&lt;=$N$30,(1/(1.14+2*LOG((R31/$M$30),10))^2),"---")</f>
        <v>5.2990299783484442E-2</v>
      </c>
      <c r="W31" s="93">
        <f t="shared" ref="W31:W39" ca="1" si="75">IF(O31&lt;=$N$30,(IF(S31=0,0,(V31/(8*SIN(RADIANS(S31/2))))*(1-(R31/$M$32)^4))),"---")</f>
        <v>3.4188221321017266E-2</v>
      </c>
      <c r="X31" s="93">
        <f t="shared" ref="X31:X39" ca="1" si="76">IF(O31&lt;=$N$30,(3.2*TAN(RADIANS(S31/2))^1.25*(1-(R31/$M$32)^2)^2),"---")</f>
        <v>0.34127548464739393</v>
      </c>
      <c r="Y31" s="93">
        <f t="shared" ref="Y31:Y39" ca="1" si="77">IF(O31&lt;=$N$30,(IF(S31=0,0,V31/(8*SIN(RADIANS(S31/2)))*(1-(R31/$M$32)^4))),"---")</f>
        <v>3.4188221321017266E-2</v>
      </c>
      <c r="Z31" s="290">
        <f t="shared" ca="1" si="58"/>
        <v>0</v>
      </c>
      <c r="AA31" s="290">
        <f t="shared" ca="1" si="59"/>
        <v>0</v>
      </c>
      <c r="AB31" s="93">
        <f t="shared" ca="1" si="60"/>
        <v>3.400206922344386</v>
      </c>
      <c r="AC31" s="291">
        <f t="shared" ca="1" si="61"/>
        <v>0</v>
      </c>
      <c r="AD31" s="93">
        <f t="shared" ca="1" si="62"/>
        <v>0</v>
      </c>
      <c r="AE31" s="93">
        <f t="shared" ca="1" si="63"/>
        <v>3.400206922344386</v>
      </c>
      <c r="AF31" s="93">
        <f t="shared" ca="1" si="64"/>
        <v>3.400206922344386</v>
      </c>
      <c r="AG31" s="292">
        <f t="shared" ca="1" si="65"/>
        <v>0.08</v>
      </c>
      <c r="AH31" s="292">
        <f t="shared" ca="1" si="66"/>
        <v>4.8000000000000001E-2</v>
      </c>
      <c r="AI31" s="292">
        <f t="shared" ca="1" si="67"/>
        <v>2.7E-2</v>
      </c>
      <c r="AJ31" s="292">
        <f t="shared" ca="1" si="68"/>
        <v>12</v>
      </c>
      <c r="AK31" s="293" t="b">
        <f t="shared" ca="1" si="69"/>
        <v>1</v>
      </c>
      <c r="AL31" s="293" t="b">
        <f t="shared" ca="1" si="70"/>
        <v>1</v>
      </c>
      <c r="AM31" s="293" t="b">
        <f t="shared" ca="1" si="71"/>
        <v>1</v>
      </c>
      <c r="AN31" s="294" t="str">
        <f t="shared" ref="AN31:AN39" ca="1" si="78">IF($O31&lt;=$N$30,IF(AK31,"D",IF(AL31,"C1",IF(AM31,"B1","НЕТ"))),"---")</f>
        <v>D</v>
      </c>
      <c r="AO31" s="294" t="b">
        <f t="shared" ref="AO31:AO39" ca="1" si="79">IF($O31&lt;=$N$30,AND(AE31&lt;$M$31,NOT(AN31="НЕТ"),IF($F$25="Экономный",T31&lt;=3,IF(AND($F$25="Оптимальный",T31&gt;$G$50),T31&lt;=1.8,IF(AND($F$25="Затратный",T31&gt;$G$50),T31&lt;=1,T31&lt;=3)))),"---")</f>
        <v>0</v>
      </c>
      <c r="AP31" s="294" t="b">
        <f t="shared" ref="AP31:AP39" ca="1" si="80">IF($O31&lt;=$N$30,AND(AF31&lt;$M$31,NOT(AN31="НЕТ"),IF($F$25="Экономный",T31&lt;=3,IF(AND($F$25="Оптимальный",T31&gt;$G$50),T31&lt;=1.8,IF(AND($F$25="Затратный",T31&gt;$G$50),T31&lt;=1,T31&lt;=3)))),"---")</f>
        <v>0</v>
      </c>
      <c r="AQ31" s="299" t="s">
        <v>18</v>
      </c>
      <c r="AR31" s="300">
        <f ca="1">OFFSET(T30,IF(ISERROR(AO28),IF(ISERROR(AP28),"НЕТ",AP28),AO28)-1,0,1)</f>
        <v>2.5898946315608709</v>
      </c>
      <c r="AS31" s="259"/>
      <c r="AT31" s="259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2:55" ht="18" customHeight="1" x14ac:dyDescent="0.4">
      <c r="B32" s="821" t="s">
        <v>412</v>
      </c>
      <c r="C32" s="822"/>
      <c r="D32" s="15">
        <v>80</v>
      </c>
      <c r="E32" s="15">
        <v>80</v>
      </c>
      <c r="F32" s="381"/>
      <c r="G32" s="15">
        <v>65</v>
      </c>
      <c r="H32" s="15">
        <v>50</v>
      </c>
      <c r="I32" s="8"/>
      <c r="L32" s="302" t="s">
        <v>410</v>
      </c>
      <c r="M32" s="303">
        <f>$G$32</f>
        <v>65</v>
      </c>
      <c r="N32" s="88"/>
      <c r="O32" s="88">
        <v>3</v>
      </c>
      <c r="P32" s="93" t="str">
        <f t="shared" ca="1" si="54"/>
        <v>25-65</v>
      </c>
      <c r="Q32" s="93" t="str">
        <f t="shared" ca="1" si="55"/>
        <v>ПРЭМ-25</v>
      </c>
      <c r="R32" s="93">
        <f t="shared" ca="1" si="56"/>
        <v>25</v>
      </c>
      <c r="S32" s="93" t="str">
        <f t="shared" ca="1" si="57"/>
        <v>21,56</v>
      </c>
      <c r="T32" s="93">
        <f t="shared" ca="1" si="72"/>
        <v>6.6301302567958293</v>
      </c>
      <c r="U32" s="289">
        <f t="shared" ca="1" si="73"/>
        <v>444239.67916189053</v>
      </c>
      <c r="V32" s="289">
        <f t="shared" ca="1" si="74"/>
        <v>4.8560427292756572E-2</v>
      </c>
      <c r="W32" s="93">
        <f t="shared" ca="1" si="75"/>
        <v>3.1743331141521038E-2</v>
      </c>
      <c r="X32" s="93">
        <f t="shared" ca="1" si="76"/>
        <v>0.29220042087147435</v>
      </c>
      <c r="Y32" s="93">
        <f t="shared" ca="1" si="77"/>
        <v>3.1743331141521038E-2</v>
      </c>
      <c r="Z32" s="290">
        <f t="shared" ca="1" si="58"/>
        <v>0</v>
      </c>
      <c r="AA32" s="290">
        <f t="shared" ca="1" si="59"/>
        <v>0</v>
      </c>
      <c r="AB32" s="93">
        <f t="shared" ca="1" si="60"/>
        <v>1.2321159419228807</v>
      </c>
      <c r="AC32" s="291">
        <f t="shared" ca="1" si="61"/>
        <v>0</v>
      </c>
      <c r="AD32" s="93">
        <f t="shared" ca="1" si="62"/>
        <v>0</v>
      </c>
      <c r="AE32" s="93">
        <f t="shared" ca="1" si="63"/>
        <v>1.2321159419228807</v>
      </c>
      <c r="AF32" s="93">
        <f t="shared" ca="1" si="64"/>
        <v>1.2321159419228807</v>
      </c>
      <c r="AG32" s="292">
        <f t="shared" ca="1" si="65"/>
        <v>0.12</v>
      </c>
      <c r="AH32" s="292">
        <f t="shared" ca="1" si="66"/>
        <v>7.1999999999999995E-2</v>
      </c>
      <c r="AI32" s="292">
        <f t="shared" ca="1" si="67"/>
        <v>0.04</v>
      </c>
      <c r="AJ32" s="292">
        <f t="shared" ca="1" si="68"/>
        <v>18</v>
      </c>
      <c r="AK32" s="293" t="b">
        <f t="shared" ca="1" si="69"/>
        <v>1</v>
      </c>
      <c r="AL32" s="293" t="b">
        <f t="shared" ca="1" si="70"/>
        <v>1</v>
      </c>
      <c r="AM32" s="293" t="b">
        <f t="shared" ca="1" si="71"/>
        <v>1</v>
      </c>
      <c r="AN32" s="294" t="str">
        <f t="shared" ca="1" si="78"/>
        <v>D</v>
      </c>
      <c r="AO32" s="294" t="b">
        <f t="shared" ca="1" si="79"/>
        <v>0</v>
      </c>
      <c r="AP32" s="294" t="b">
        <f t="shared" ca="1" si="80"/>
        <v>0</v>
      </c>
      <c r="AQ32" s="65" t="s">
        <v>22</v>
      </c>
      <c r="AR32" s="300">
        <f ca="1">IF(ISERROR(AO28),IF(ISERROR(AP28),"НЕТ",OFFSET(AF30,AP28-1,0,1)),OFFSET(AE30,AO28-1,0,1))</f>
        <v>0.13001674673280927</v>
      </c>
      <c r="AS32" s="304"/>
      <c r="AT32" s="91">
        <f ca="1">IF(ISERROR(AO28),IF(ISERROR(AP28),"НЕТ",OFFSET(AF30,AP28-1,0,1)),OFFSET(AE30,AO28-1,0,1))</f>
        <v>0.13001674673280927</v>
      </c>
      <c r="AU32" s="51"/>
      <c r="AV32" s="51"/>
      <c r="AW32" s="51"/>
      <c r="AX32" s="51"/>
      <c r="AY32" s="51"/>
      <c r="AZ32" s="51"/>
      <c r="BA32" s="51"/>
      <c r="BB32" s="51"/>
      <c r="BC32" s="51"/>
    </row>
    <row r="33" spans="2:55" ht="18" customHeight="1" thickBot="1" x14ac:dyDescent="0.45">
      <c r="B33" s="817" t="s">
        <v>30</v>
      </c>
      <c r="C33" s="818"/>
      <c r="D33" s="16">
        <v>7</v>
      </c>
      <c r="E33" s="16">
        <v>5</v>
      </c>
      <c r="F33" s="381"/>
      <c r="G33" s="16">
        <v>7</v>
      </c>
      <c r="H33" s="16">
        <v>5</v>
      </c>
      <c r="I33" s="329"/>
      <c r="L33" s="305" t="s">
        <v>71</v>
      </c>
      <c r="M33" s="306">
        <f>G47</f>
        <v>11.716407285239917</v>
      </c>
      <c r="N33" s="88"/>
      <c r="O33" s="88">
        <v>4</v>
      </c>
      <c r="P33" s="93" t="str">
        <f t="shared" ca="1" si="54"/>
        <v>32-65</v>
      </c>
      <c r="Q33" s="93" t="str">
        <f t="shared" ca="1" si="55"/>
        <v>ПРЭМ-32</v>
      </c>
      <c r="R33" s="93">
        <f t="shared" ca="1" si="56"/>
        <v>32</v>
      </c>
      <c r="S33" s="93" t="str">
        <f t="shared" ca="1" si="57"/>
        <v>40,28</v>
      </c>
      <c r="T33" s="93">
        <f t="shared" ca="1" si="72"/>
        <v>4.0467103618138607</v>
      </c>
      <c r="U33" s="289">
        <f t="shared" ca="1" si="73"/>
        <v>347062.24934522697</v>
      </c>
      <c r="V33" s="289">
        <f t="shared" ca="1" si="74"/>
        <v>4.4277322004702871E-2</v>
      </c>
      <c r="W33" s="93">
        <f t="shared" ca="1" si="75"/>
        <v>1.5130175160196956E-2</v>
      </c>
      <c r="X33" s="93">
        <f t="shared" ca="1" si="76"/>
        <v>0.5242223623950496</v>
      </c>
      <c r="Y33" s="93">
        <f t="shared" ca="1" si="77"/>
        <v>1.5130175160196956E-2</v>
      </c>
      <c r="Z33" s="290">
        <f t="shared" ca="1" si="58"/>
        <v>0</v>
      </c>
      <c r="AA33" s="290">
        <f t="shared" ca="1" si="59"/>
        <v>0</v>
      </c>
      <c r="AB33" s="93">
        <f t="shared" ca="1" si="60"/>
        <v>0.61062444739910382</v>
      </c>
      <c r="AC33" s="291">
        <f t="shared" ca="1" si="61"/>
        <v>0</v>
      </c>
      <c r="AD33" s="93">
        <f t="shared" ca="1" si="62"/>
        <v>0</v>
      </c>
      <c r="AE33" s="93">
        <f t="shared" ca="1" si="63"/>
        <v>0.61062444739910382</v>
      </c>
      <c r="AF33" s="93">
        <f t="shared" ca="1" si="64"/>
        <v>0.61062444739910382</v>
      </c>
      <c r="AG33" s="292">
        <f t="shared" ca="1" si="65"/>
        <v>0.2</v>
      </c>
      <c r="AH33" s="292">
        <f t="shared" ca="1" si="66"/>
        <v>0.12</v>
      </c>
      <c r="AI33" s="292">
        <f t="shared" ca="1" si="67"/>
        <v>6.7000000000000004E-2</v>
      </c>
      <c r="AJ33" s="292">
        <f t="shared" ca="1" si="68"/>
        <v>30</v>
      </c>
      <c r="AK33" s="293" t="b">
        <f t="shared" ca="1" si="69"/>
        <v>1</v>
      </c>
      <c r="AL33" s="293" t="b">
        <f t="shared" ca="1" si="70"/>
        <v>1</v>
      </c>
      <c r="AM33" s="293" t="b">
        <f t="shared" ca="1" si="71"/>
        <v>1</v>
      </c>
      <c r="AN33" s="294" t="str">
        <f t="shared" ca="1" si="78"/>
        <v>D</v>
      </c>
      <c r="AO33" s="294" t="b">
        <f t="shared" ca="1" si="79"/>
        <v>0</v>
      </c>
      <c r="AP33" s="294" t="b">
        <f t="shared" ca="1" si="80"/>
        <v>0</v>
      </c>
      <c r="AQ33" s="307"/>
      <c r="AR33" s="308"/>
      <c r="AS33" s="309"/>
      <c r="AT33" s="310"/>
      <c r="AU33" s="53"/>
      <c r="AV33" s="53"/>
      <c r="AW33" s="53"/>
      <c r="AX33" s="53"/>
      <c r="AY33" s="53"/>
      <c r="AZ33" s="53"/>
      <c r="BA33" s="53"/>
      <c r="BB33" s="53"/>
      <c r="BC33" s="41"/>
    </row>
    <row r="34" spans="2:55" ht="18" customHeight="1" thickBot="1" x14ac:dyDescent="0.45">
      <c r="I34" s="329"/>
      <c r="J34" s="69"/>
      <c r="K34" s="69"/>
      <c r="L34" s="305" t="s">
        <v>72</v>
      </c>
      <c r="M34" s="306">
        <f>G48</f>
        <v>0.46865629140959669</v>
      </c>
      <c r="N34" s="88"/>
      <c r="O34" s="88">
        <v>5</v>
      </c>
      <c r="P34" s="93" t="str">
        <f t="shared" ca="1" si="54"/>
        <v>40-65</v>
      </c>
      <c r="Q34" s="93" t="str">
        <f t="shared" ca="1" si="55"/>
        <v>ПРЭМ-40</v>
      </c>
      <c r="R34" s="93">
        <f t="shared" ca="1" si="56"/>
        <v>40</v>
      </c>
      <c r="S34" s="93" t="str">
        <f t="shared" ca="1" si="57"/>
        <v>23,54</v>
      </c>
      <c r="T34" s="93">
        <f t="shared" ca="1" si="72"/>
        <v>2.5898946315608709</v>
      </c>
      <c r="U34" s="289">
        <f t="shared" ca="1" si="73"/>
        <v>277649.79947618156</v>
      </c>
      <c r="V34" s="289">
        <f t="shared" ca="1" si="74"/>
        <v>4.0875226338606262E-2</v>
      </c>
      <c r="W34" s="93">
        <f t="shared" ca="1" si="75"/>
        <v>2.1455911851478358E-2</v>
      </c>
      <c r="X34" s="93">
        <f t="shared" ca="1" si="76"/>
        <v>0.17389408529732789</v>
      </c>
      <c r="Y34" s="93">
        <f t="shared" ca="1" si="77"/>
        <v>2.1455911851478358E-2</v>
      </c>
      <c r="Z34" s="290">
        <f t="shared" ca="1" si="58"/>
        <v>0</v>
      </c>
      <c r="AA34" s="290">
        <f t="shared" ca="1" si="59"/>
        <v>0</v>
      </c>
      <c r="AB34" s="93">
        <f t="shared" ca="1" si="60"/>
        <v>0.13001674673280927</v>
      </c>
      <c r="AC34" s="291">
        <f t="shared" ca="1" si="61"/>
        <v>0</v>
      </c>
      <c r="AD34" s="93">
        <f t="shared" ca="1" si="62"/>
        <v>0</v>
      </c>
      <c r="AE34" s="93">
        <f t="shared" ca="1" si="63"/>
        <v>0.13001674673280927</v>
      </c>
      <c r="AF34" s="93">
        <f t="shared" ca="1" si="64"/>
        <v>0.13001674673280927</v>
      </c>
      <c r="AG34" s="292">
        <f t="shared" ca="1" si="65"/>
        <v>0.3</v>
      </c>
      <c r="AH34" s="292">
        <f t="shared" ca="1" si="66"/>
        <v>0.18</v>
      </c>
      <c r="AI34" s="292">
        <f t="shared" ca="1" si="67"/>
        <v>0.1</v>
      </c>
      <c r="AJ34" s="292">
        <f t="shared" ca="1" si="68"/>
        <v>45</v>
      </c>
      <c r="AK34" s="293" t="b">
        <f t="shared" ca="1" si="69"/>
        <v>1</v>
      </c>
      <c r="AL34" s="293" t="b">
        <f t="shared" ca="1" si="70"/>
        <v>1</v>
      </c>
      <c r="AM34" s="293" t="b">
        <f t="shared" ca="1" si="71"/>
        <v>1</v>
      </c>
      <c r="AN34" s="294" t="str">
        <f t="shared" ca="1" si="78"/>
        <v>D</v>
      </c>
      <c r="AO34" s="294" t="b">
        <f t="shared" ca="1" si="79"/>
        <v>1</v>
      </c>
      <c r="AP34" s="294" t="b">
        <f t="shared" ca="1" si="80"/>
        <v>1</v>
      </c>
      <c r="AQ34" s="311"/>
      <c r="AR34" s="312"/>
      <c r="AS34" s="313"/>
      <c r="AT34" s="314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25" customHeight="1" thickBot="1" x14ac:dyDescent="0.45">
      <c r="B35" s="800" t="s">
        <v>35</v>
      </c>
      <c r="C35" s="801"/>
      <c r="D35" s="801"/>
      <c r="E35" s="801"/>
      <c r="F35" s="801"/>
      <c r="G35" s="801"/>
      <c r="H35" s="409"/>
      <c r="I35" s="382"/>
      <c r="J35" s="69"/>
      <c r="K35" s="69"/>
      <c r="L35" s="305" t="s">
        <v>73</v>
      </c>
      <c r="M35" s="315">
        <f>G60</f>
        <v>3.7311672998820908E-7</v>
      </c>
      <c r="N35" s="88"/>
      <c r="O35" s="88">
        <v>6</v>
      </c>
      <c r="P35" s="93" t="str">
        <f t="shared" ca="1" si="54"/>
        <v>50-65</v>
      </c>
      <c r="Q35" s="93" t="str">
        <f t="shared" ca="1" si="55"/>
        <v>ПРЭМ-50</v>
      </c>
      <c r="R35" s="93">
        <f t="shared" ca="1" si="56"/>
        <v>50</v>
      </c>
      <c r="S35" s="93" t="str">
        <f t="shared" ca="1" si="57"/>
        <v>14,26</v>
      </c>
      <c r="T35" s="93">
        <f t="shared" ca="1" si="72"/>
        <v>1.6575325641989573</v>
      </c>
      <c r="U35" s="289">
        <f t="shared" ca="1" si="73"/>
        <v>222119.83958094526</v>
      </c>
      <c r="V35" s="289">
        <f t="shared" ca="1" si="74"/>
        <v>3.7850686611455138E-2</v>
      </c>
      <c r="W35" s="93">
        <f t="shared" ca="1" si="75"/>
        <v>2.4772299282282768E-2</v>
      </c>
      <c r="X35" s="93">
        <f t="shared" ca="1" si="76"/>
        <v>3.9682204611091648E-2</v>
      </c>
      <c r="Y35" s="93">
        <f t="shared" ca="1" si="77"/>
        <v>2.4772299282282768E-2</v>
      </c>
      <c r="Z35" s="290">
        <f t="shared" ca="1" si="58"/>
        <v>0</v>
      </c>
      <c r="AA35" s="290">
        <f t="shared" ca="1" si="59"/>
        <v>0</v>
      </c>
      <c r="AB35" s="93">
        <f t="shared" ca="1" si="60"/>
        <v>3.3695669821697971E-2</v>
      </c>
      <c r="AC35" s="291">
        <f t="shared" ca="1" si="61"/>
        <v>0</v>
      </c>
      <c r="AD35" s="93">
        <f t="shared" ca="1" si="62"/>
        <v>0</v>
      </c>
      <c r="AE35" s="93">
        <f t="shared" ca="1" si="63"/>
        <v>3.3695669821697971E-2</v>
      </c>
      <c r="AF35" s="93">
        <f t="shared" ca="1" si="64"/>
        <v>3.3695669821697971E-2</v>
      </c>
      <c r="AG35" s="292">
        <f t="shared" ca="1" si="65"/>
        <v>0.48</v>
      </c>
      <c r="AH35" s="292">
        <f t="shared" ca="1" si="66"/>
        <v>0.28799999999999998</v>
      </c>
      <c r="AI35" s="292">
        <f t="shared" ca="1" si="67"/>
        <v>0.16</v>
      </c>
      <c r="AJ35" s="292">
        <f t="shared" ca="1" si="68"/>
        <v>72</v>
      </c>
      <c r="AK35" s="293" t="b">
        <f t="shared" ca="1" si="69"/>
        <v>0</v>
      </c>
      <c r="AL35" s="293" t="b">
        <f t="shared" ca="1" si="70"/>
        <v>1</v>
      </c>
      <c r="AM35" s="293" t="b">
        <f t="shared" ca="1" si="71"/>
        <v>1</v>
      </c>
      <c r="AN35" s="294" t="str">
        <f t="shared" ca="1" si="78"/>
        <v>C1</v>
      </c>
      <c r="AO35" s="294" t="b">
        <f t="shared" ca="1" si="79"/>
        <v>1</v>
      </c>
      <c r="AP35" s="294" t="b">
        <f t="shared" ca="1" si="80"/>
        <v>1</v>
      </c>
      <c r="AQ35" s="91"/>
      <c r="AS35" s="316"/>
      <c r="AT35" s="317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45" customHeight="1" thickBot="1" x14ac:dyDescent="0.45">
      <c r="B36" s="823" t="s">
        <v>106</v>
      </c>
      <c r="C36" s="824"/>
      <c r="D36" s="119" t="str">
        <f ca="1">AR3</f>
        <v>ПРЭМ-50-D-Cэндвич</v>
      </c>
      <c r="E36" s="120" t="str">
        <f ca="1">AR16</f>
        <v>ПРЭМ-50-D-Cэндвич</v>
      </c>
      <c r="G36" s="120" t="str">
        <f ca="1">AR29</f>
        <v>ПРЭМ-40-D-Cэндвич</v>
      </c>
      <c r="H36" s="120" t="str">
        <f ca="1">AR42</f>
        <v>ПРЭМ-32-D-Cэндвич</v>
      </c>
      <c r="I36" s="56"/>
      <c r="J36" s="69"/>
      <c r="K36" s="69"/>
      <c r="L36" s="318" t="s">
        <v>102</v>
      </c>
      <c r="M36" s="319">
        <f>(M33/3.6)/((PI()*M32^2)/4000)</f>
        <v>0.98078849952601022</v>
      </c>
      <c r="O36" s="88">
        <v>7</v>
      </c>
      <c r="P36" s="93" t="str">
        <f t="shared" ca="1" si="54"/>
        <v>65-65</v>
      </c>
      <c r="Q36" s="93" t="str">
        <f t="shared" ca="1" si="55"/>
        <v>ПРЭМ-65</v>
      </c>
      <c r="R36" s="93">
        <f t="shared" ca="1" si="56"/>
        <v>65</v>
      </c>
      <c r="S36" s="93">
        <f t="shared" ca="1" si="57"/>
        <v>0</v>
      </c>
      <c r="T36" s="93">
        <f t="shared" ca="1" si="72"/>
        <v>0.98078849952601022</v>
      </c>
      <c r="U36" s="289">
        <f t="shared" ca="1" si="73"/>
        <v>170861.41506226559</v>
      </c>
      <c r="V36" s="289">
        <f t="shared" ca="1" si="74"/>
        <v>3.4705101432211762E-2</v>
      </c>
      <c r="W36" s="93">
        <f t="shared" ca="1" si="75"/>
        <v>0</v>
      </c>
      <c r="X36" s="93">
        <f t="shared" ca="1" si="76"/>
        <v>0</v>
      </c>
      <c r="Y36" s="93">
        <f t="shared" ca="1" si="77"/>
        <v>0</v>
      </c>
      <c r="Z36" s="290" t="e">
        <f t="shared" ca="1" si="58"/>
        <v>#N/A</v>
      </c>
      <c r="AA36" s="290">
        <f t="shared" ca="1" si="59"/>
        <v>0</v>
      </c>
      <c r="AB36" s="93">
        <f t="shared" ca="1" si="60"/>
        <v>6.8062051593412278E-3</v>
      </c>
      <c r="AC36" s="291" t="e">
        <f t="shared" ca="1" si="61"/>
        <v>#N/A</v>
      </c>
      <c r="AD36" s="93">
        <f t="shared" ca="1" si="62"/>
        <v>0</v>
      </c>
      <c r="AE36" s="93" t="e">
        <f t="shared" ca="1" si="63"/>
        <v>#N/A</v>
      </c>
      <c r="AF36" s="93">
        <f t="shared" ca="1" si="64"/>
        <v>6.8062051593412278E-3</v>
      </c>
      <c r="AG36" s="292">
        <f t="shared" ca="1" si="65"/>
        <v>0.8</v>
      </c>
      <c r="AH36" s="292">
        <f t="shared" ca="1" si="66"/>
        <v>0.48</v>
      </c>
      <c r="AI36" s="292">
        <f t="shared" ca="1" si="67"/>
        <v>0.26700000000000002</v>
      </c>
      <c r="AJ36" s="292">
        <f t="shared" ca="1" si="68"/>
        <v>120</v>
      </c>
      <c r="AK36" s="293" t="b">
        <f t="shared" ca="1" si="69"/>
        <v>0</v>
      </c>
      <c r="AL36" s="293" t="b">
        <f t="shared" ca="1" si="70"/>
        <v>0</v>
      </c>
      <c r="AM36" s="293" t="b">
        <f t="shared" ca="1" si="71"/>
        <v>1</v>
      </c>
      <c r="AN36" s="294" t="str">
        <f t="shared" ca="1" si="78"/>
        <v>B1</v>
      </c>
      <c r="AO36" s="294" t="e">
        <f t="shared" ca="1" si="79"/>
        <v>#N/A</v>
      </c>
      <c r="AP36" s="294" t="b">
        <f t="shared" ca="1" si="80"/>
        <v>1</v>
      </c>
      <c r="AR36" s="320"/>
      <c r="AT36" s="9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" customHeight="1" x14ac:dyDescent="0.4">
      <c r="B37" s="819" t="s">
        <v>58</v>
      </c>
      <c r="C37" s="820"/>
      <c r="D37" s="27">
        <f ca="1">VLOOKUP(AT3,ParamPiterflow,4,FALSE)</f>
        <v>72</v>
      </c>
      <c r="E37" s="28">
        <f ca="1">VLOOKUP(AT16,ParamPiterflow,4,FALSE)</f>
        <v>72</v>
      </c>
      <c r="F37" s="343"/>
      <c r="G37" s="27">
        <f ca="1">VLOOKUP(AT29,ParamPiterflow,4,FALSE)</f>
        <v>45</v>
      </c>
      <c r="H37" s="28">
        <f ca="1">VLOOKUP(AT42,ParamPiterflow,4,FALSE)</f>
        <v>30</v>
      </c>
      <c r="I37" s="382"/>
      <c r="J37" s="69"/>
      <c r="K37" s="69"/>
      <c r="O37" s="88">
        <v>8</v>
      </c>
      <c r="P37" s="93" t="str">
        <f t="shared" ca="1" si="54"/>
        <v>---</v>
      </c>
      <c r="Q37" s="93" t="str">
        <f t="shared" ca="1" si="55"/>
        <v>---</v>
      </c>
      <c r="R37" s="93" t="str">
        <f t="shared" ca="1" si="56"/>
        <v>---</v>
      </c>
      <c r="S37" s="93" t="str">
        <f t="shared" ca="1" si="57"/>
        <v>---</v>
      </c>
      <c r="T37" s="93" t="str">
        <f t="shared" ca="1" si="72"/>
        <v>---</v>
      </c>
      <c r="U37" s="289" t="str">
        <f t="shared" ca="1" si="73"/>
        <v>---</v>
      </c>
      <c r="V37" s="289" t="str">
        <f t="shared" ca="1" si="74"/>
        <v>---</v>
      </c>
      <c r="W37" s="93" t="str">
        <f t="shared" ca="1" si="75"/>
        <v>---</v>
      </c>
      <c r="X37" s="93" t="str">
        <f t="shared" ca="1" si="76"/>
        <v>---</v>
      </c>
      <c r="Y37" s="93" t="str">
        <f t="shared" ca="1" si="77"/>
        <v>---</v>
      </c>
      <c r="Z37" s="290" t="str">
        <f t="shared" ca="1" si="58"/>
        <v>---</v>
      </c>
      <c r="AA37" s="290" t="str">
        <f t="shared" ca="1" si="59"/>
        <v>---</v>
      </c>
      <c r="AB37" s="93" t="str">
        <f t="shared" ca="1" si="60"/>
        <v>--</v>
      </c>
      <c r="AC37" s="291" t="str">
        <f t="shared" ca="1" si="61"/>
        <v>--</v>
      </c>
      <c r="AD37" s="93" t="str">
        <f t="shared" ca="1" si="62"/>
        <v>--</v>
      </c>
      <c r="AE37" s="93" t="str">
        <f t="shared" ca="1" si="63"/>
        <v>---</v>
      </c>
      <c r="AF37" s="93" t="str">
        <f t="shared" ca="1" si="64"/>
        <v>---</v>
      </c>
      <c r="AG37" s="292" t="str">
        <f t="shared" ca="1" si="65"/>
        <v>---</v>
      </c>
      <c r="AH37" s="292" t="str">
        <f t="shared" ca="1" si="66"/>
        <v>---</v>
      </c>
      <c r="AI37" s="292" t="str">
        <f t="shared" ca="1" si="67"/>
        <v>---</v>
      </c>
      <c r="AJ37" s="292" t="str">
        <f t="shared" ca="1" si="68"/>
        <v>---</v>
      </c>
      <c r="AK37" s="293" t="str">
        <f t="shared" ca="1" si="69"/>
        <v>---</v>
      </c>
      <c r="AL37" s="293" t="str">
        <f t="shared" ca="1" si="70"/>
        <v>---</v>
      </c>
      <c r="AM37" s="293" t="str">
        <f t="shared" ca="1" si="71"/>
        <v>---</v>
      </c>
      <c r="AN37" s="294" t="str">
        <f t="shared" ca="1" si="78"/>
        <v>---</v>
      </c>
      <c r="AO37" s="294" t="str">
        <f t="shared" ca="1" si="79"/>
        <v>---</v>
      </c>
      <c r="AP37" s="294" t="str">
        <f t="shared" ca="1" si="80"/>
        <v>---</v>
      </c>
      <c r="AR37" s="320"/>
      <c r="AT37" s="9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9.5" customHeight="1" x14ac:dyDescent="0.4">
      <c r="B38" s="815" t="s">
        <v>233</v>
      </c>
      <c r="C38" s="816"/>
      <c r="D38" s="29">
        <f ca="1">VLOOKUP(AT3,ParamPiterflow,3,FALSE)</f>
        <v>0.72</v>
      </c>
      <c r="E38" s="30">
        <f ca="1">VLOOKUP(AT16,ParamPiterflow,3,FALSE)</f>
        <v>0.72</v>
      </c>
      <c r="F38" s="343"/>
      <c r="G38" s="29">
        <f ca="1">VLOOKUP(AT29,ParamPiterflow,3,FALSE)</f>
        <v>0.45</v>
      </c>
      <c r="H38" s="30">
        <f ca="1">VLOOKUP(AT42,ParamPiterflow,3,FALSE)</f>
        <v>0.3</v>
      </c>
      <c r="I38" s="333"/>
      <c r="J38" s="69"/>
      <c r="K38" s="69"/>
      <c r="O38" s="88">
        <v>9</v>
      </c>
      <c r="P38" s="93" t="str">
        <f t="shared" ca="1" si="54"/>
        <v>---</v>
      </c>
      <c r="Q38" s="93" t="str">
        <f t="shared" ca="1" si="55"/>
        <v>---</v>
      </c>
      <c r="R38" s="93" t="str">
        <f t="shared" ca="1" si="56"/>
        <v>---</v>
      </c>
      <c r="S38" s="93" t="str">
        <f t="shared" ca="1" si="57"/>
        <v>---</v>
      </c>
      <c r="T38" s="93" t="str">
        <f t="shared" ca="1" si="72"/>
        <v>---</v>
      </c>
      <c r="U38" s="289" t="str">
        <f t="shared" ca="1" si="73"/>
        <v>---</v>
      </c>
      <c r="V38" s="289" t="str">
        <f t="shared" ca="1" si="74"/>
        <v>---</v>
      </c>
      <c r="W38" s="93" t="str">
        <f t="shared" ca="1" si="75"/>
        <v>---</v>
      </c>
      <c r="X38" s="93" t="str">
        <f t="shared" ca="1" si="76"/>
        <v>---</v>
      </c>
      <c r="Y38" s="93" t="str">
        <f t="shared" ca="1" si="77"/>
        <v>---</v>
      </c>
      <c r="Z38" s="290" t="str">
        <f t="shared" ca="1" si="58"/>
        <v>---</v>
      </c>
      <c r="AA38" s="290" t="str">
        <f t="shared" ca="1" si="59"/>
        <v>---</v>
      </c>
      <c r="AB38" s="93" t="str">
        <f t="shared" ca="1" si="60"/>
        <v>--</v>
      </c>
      <c r="AC38" s="291" t="str">
        <f t="shared" ca="1" si="61"/>
        <v>--</v>
      </c>
      <c r="AD38" s="93" t="str">
        <f t="shared" ca="1" si="62"/>
        <v>--</v>
      </c>
      <c r="AE38" s="93" t="str">
        <f t="shared" ca="1" si="63"/>
        <v>---</v>
      </c>
      <c r="AF38" s="93" t="str">
        <f t="shared" ca="1" si="64"/>
        <v>---</v>
      </c>
      <c r="AG38" s="292" t="str">
        <f t="shared" ca="1" si="65"/>
        <v>---</v>
      </c>
      <c r="AH38" s="292" t="str">
        <f t="shared" ca="1" si="66"/>
        <v>---</v>
      </c>
      <c r="AI38" s="292" t="str">
        <f t="shared" ca="1" si="67"/>
        <v>---</v>
      </c>
      <c r="AJ38" s="292" t="str">
        <f t="shared" ca="1" si="68"/>
        <v>---</v>
      </c>
      <c r="AK38" s="293" t="str">
        <f t="shared" ca="1" si="69"/>
        <v>---</v>
      </c>
      <c r="AL38" s="293" t="str">
        <f t="shared" ca="1" si="70"/>
        <v>---</v>
      </c>
      <c r="AM38" s="293" t="str">
        <f t="shared" ca="1" si="71"/>
        <v>---</v>
      </c>
      <c r="AN38" s="294" t="str">
        <f t="shared" ca="1" si="78"/>
        <v>---</v>
      </c>
      <c r="AO38" s="294" t="str">
        <f t="shared" ca="1" si="79"/>
        <v>---</v>
      </c>
      <c r="AP38" s="294" t="str">
        <f t="shared" ca="1" si="80"/>
        <v>---</v>
      </c>
      <c r="AS38" s="41"/>
      <c r="AT38" s="9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" customHeight="1" thickBot="1" x14ac:dyDescent="0.45">
      <c r="B39" s="815" t="s">
        <v>101</v>
      </c>
      <c r="C39" s="816"/>
      <c r="D39" s="31">
        <f ca="1">VLOOKUP(AT3,ParamPiterflow,2,FALSE)</f>
        <v>0.48</v>
      </c>
      <c r="E39" s="32">
        <f ca="1">VLOOKUP(AT16,ParamPiterflow,2,FALSE)</f>
        <v>0.48</v>
      </c>
      <c r="F39" s="343"/>
      <c r="G39" s="31">
        <f ca="1">VLOOKUP(AT29,ParamPiterflow,2,FALSE)</f>
        <v>0.3</v>
      </c>
      <c r="H39" s="32">
        <f ca="1">VLOOKUP(AT42,ParamPiterflow,2,FALSE)</f>
        <v>0.2</v>
      </c>
      <c r="I39" s="333"/>
      <c r="O39" s="88">
        <v>10</v>
      </c>
      <c r="P39" s="93" t="str">
        <f t="shared" ca="1" si="54"/>
        <v>---</v>
      </c>
      <c r="Q39" s="93" t="str">
        <f t="shared" ca="1" si="55"/>
        <v>---</v>
      </c>
      <c r="R39" s="93" t="str">
        <f t="shared" ca="1" si="56"/>
        <v>---</v>
      </c>
      <c r="S39" s="93" t="str">
        <f t="shared" ca="1" si="57"/>
        <v>---</v>
      </c>
      <c r="T39" s="93" t="str">
        <f t="shared" ca="1" si="72"/>
        <v>---</v>
      </c>
      <c r="U39" s="289" t="str">
        <f t="shared" ca="1" si="73"/>
        <v>---</v>
      </c>
      <c r="V39" s="289" t="str">
        <f t="shared" ca="1" si="74"/>
        <v>---</v>
      </c>
      <c r="W39" s="93" t="str">
        <f t="shared" ca="1" si="75"/>
        <v>---</v>
      </c>
      <c r="X39" s="93" t="str">
        <f t="shared" ca="1" si="76"/>
        <v>---</v>
      </c>
      <c r="Y39" s="93" t="str">
        <f t="shared" ca="1" si="77"/>
        <v>---</v>
      </c>
      <c r="Z39" s="290" t="str">
        <f t="shared" ca="1" si="58"/>
        <v>---</v>
      </c>
      <c r="AA39" s="290" t="str">
        <f t="shared" ca="1" si="59"/>
        <v>---</v>
      </c>
      <c r="AB39" s="93" t="str">
        <f t="shared" ca="1" si="60"/>
        <v>--</v>
      </c>
      <c r="AC39" s="291" t="str">
        <f t="shared" ca="1" si="61"/>
        <v>--</v>
      </c>
      <c r="AD39" s="93" t="str">
        <f t="shared" ca="1" si="62"/>
        <v>--</v>
      </c>
      <c r="AE39" s="93" t="str">
        <f t="shared" ca="1" si="63"/>
        <v>---</v>
      </c>
      <c r="AF39" s="93" t="str">
        <f t="shared" ca="1" si="64"/>
        <v>---</v>
      </c>
      <c r="AG39" s="292" t="str">
        <f t="shared" ca="1" si="65"/>
        <v>---</v>
      </c>
      <c r="AH39" s="292" t="str">
        <f t="shared" ca="1" si="66"/>
        <v>---</v>
      </c>
      <c r="AI39" s="292" t="str">
        <f t="shared" ca="1" si="67"/>
        <v>---</v>
      </c>
      <c r="AJ39" s="292" t="str">
        <f t="shared" ca="1" si="68"/>
        <v>---</v>
      </c>
      <c r="AK39" s="293" t="str">
        <f t="shared" ca="1" si="69"/>
        <v>---</v>
      </c>
      <c r="AL39" s="293" t="str">
        <f t="shared" ca="1" si="70"/>
        <v>---</v>
      </c>
      <c r="AM39" s="293" t="str">
        <f t="shared" ca="1" si="71"/>
        <v>---</v>
      </c>
      <c r="AN39" s="294" t="str">
        <f t="shared" ca="1" si="78"/>
        <v>---</v>
      </c>
      <c r="AO39" s="294" t="str">
        <f t="shared" ca="1" si="79"/>
        <v>---</v>
      </c>
      <c r="AP39" s="294" t="str">
        <f t="shared" ca="1" si="80"/>
        <v>---</v>
      </c>
      <c r="AS39" s="41"/>
      <c r="AT39" s="91"/>
      <c r="AU39" s="383"/>
      <c r="AV39" s="41"/>
      <c r="AW39" s="41"/>
      <c r="AX39" s="41"/>
      <c r="AY39" s="41"/>
      <c r="AZ39" s="41"/>
      <c r="BA39" s="41"/>
      <c r="BB39" s="41"/>
      <c r="BC39" s="41"/>
    </row>
    <row r="40" spans="2:55" ht="18" customHeight="1" thickBot="1" x14ac:dyDescent="0.45">
      <c r="I40" s="333"/>
      <c r="L40" s="258"/>
      <c r="M40" s="41"/>
      <c r="N40" s="41"/>
      <c r="O40" s="384"/>
      <c r="P40" s="385"/>
      <c r="Q40" s="385"/>
      <c r="R40" s="385"/>
      <c r="S40" s="385"/>
      <c r="T40" s="385"/>
      <c r="U40" s="385"/>
      <c r="V40" s="386"/>
      <c r="W40" s="386"/>
      <c r="X40" s="385"/>
      <c r="Y40" s="385"/>
      <c r="Z40" s="385"/>
      <c r="AA40" s="385"/>
      <c r="AB40" s="385"/>
      <c r="AC40" s="385"/>
      <c r="AD40" s="388"/>
      <c r="AE40" s="388"/>
      <c r="AF40" s="388"/>
      <c r="AG40" s="388"/>
      <c r="AH40" s="389"/>
      <c r="AI40" s="389"/>
      <c r="AJ40" s="389"/>
      <c r="AK40" s="389"/>
      <c r="AL40" s="389"/>
      <c r="AM40" s="390"/>
      <c r="AN40" s="391"/>
      <c r="AO40" s="391"/>
      <c r="AP40" s="8"/>
      <c r="AQ40" s="392"/>
      <c r="AR40" s="393"/>
      <c r="AS40" s="41"/>
      <c r="AT40" s="393"/>
      <c r="AU40" s="393"/>
      <c r="AV40" s="41"/>
      <c r="AW40" s="41"/>
      <c r="AX40" s="41"/>
      <c r="AY40" s="41"/>
      <c r="AZ40" s="41"/>
      <c r="BA40" s="41"/>
      <c r="BB40" s="41"/>
      <c r="BC40" s="41"/>
    </row>
    <row r="41" spans="2:55" ht="25" customHeight="1" thickBot="1" x14ac:dyDescent="0.35">
      <c r="B41" s="800" t="s">
        <v>107</v>
      </c>
      <c r="C41" s="801"/>
      <c r="D41" s="801"/>
      <c r="E41" s="801"/>
      <c r="F41" s="801"/>
      <c r="G41" s="801"/>
      <c r="H41" s="409"/>
      <c r="I41" s="333"/>
      <c r="N41" s="262"/>
      <c r="O41" s="263" t="s">
        <v>406</v>
      </c>
      <c r="P41" s="264">
        <f>MATCH(M45,DyTr_New,0)</f>
        <v>16</v>
      </c>
      <c r="Q41" s="265">
        <f ca="1">MATCH(TRUE,AO43:AO52,0)</f>
        <v>4</v>
      </c>
      <c r="R41" s="266" t="s">
        <v>103</v>
      </c>
      <c r="S41" s="267"/>
      <c r="U41" s="268">
        <f ca="1">MATCH(TRUE,AO43:AO52,0)</f>
        <v>4</v>
      </c>
      <c r="V41" s="269" t="s">
        <v>407</v>
      </c>
      <c r="W41" s="270"/>
      <c r="X41" s="270"/>
      <c r="Y41" s="270"/>
      <c r="Z41" s="838" t="s">
        <v>206</v>
      </c>
      <c r="AA41" s="838"/>
      <c r="AB41" s="258"/>
      <c r="AG41" s="826" t="s">
        <v>75</v>
      </c>
      <c r="AH41" s="826"/>
      <c r="AI41" s="826"/>
      <c r="AJ41" s="271" t="s">
        <v>66</v>
      </c>
      <c r="AK41" s="810" t="s">
        <v>65</v>
      </c>
      <c r="AL41" s="810"/>
      <c r="AM41" s="810"/>
      <c r="AN41" s="272"/>
      <c r="AO41" s="273">
        <f ca="1">MATCH(TRUE,AO43:AO52,0)</f>
        <v>4</v>
      </c>
      <c r="AP41" s="273">
        <f ca="1">MATCH(TRUE,AP43:AP52,0)</f>
        <v>4</v>
      </c>
      <c r="AQ41" s="802" t="s">
        <v>69</v>
      </c>
      <c r="AR41" s="803"/>
      <c r="AS41" s="259"/>
      <c r="AT41" s="259"/>
      <c r="AU41" s="394"/>
      <c r="AV41" s="41"/>
      <c r="AW41" s="41"/>
      <c r="AX41" s="41"/>
      <c r="AY41" s="41"/>
      <c r="AZ41" s="41"/>
      <c r="BA41" s="41"/>
      <c r="BB41" s="41"/>
      <c r="BC41" s="41"/>
    </row>
    <row r="42" spans="2:55" ht="18" customHeight="1" x14ac:dyDescent="0.4">
      <c r="B42" s="336" t="s">
        <v>28</v>
      </c>
      <c r="C42" s="337"/>
      <c r="D42" s="14">
        <f>1000*$D$29/VLOOKUP(D30,TemperGrafik,3,FALSE)+G42</f>
        <v>19.761904761904763</v>
      </c>
      <c r="E42" s="14">
        <f>D42</f>
        <v>19.761904761904763</v>
      </c>
      <c r="F42" s="71"/>
      <c r="G42" s="14">
        <f>1000*$G$29/(G45-5)</f>
        <v>11.428571428571429</v>
      </c>
      <c r="H42" s="96">
        <f>1000*0.1*G29/10</f>
        <v>8</v>
      </c>
      <c r="I42" s="333"/>
      <c r="K42" s="410"/>
      <c r="L42" s="277" t="s">
        <v>78</v>
      </c>
      <c r="M42" s="278" t="s">
        <v>90</v>
      </c>
      <c r="N42" s="279" t="s">
        <v>97</v>
      </c>
      <c r="O42" s="88"/>
      <c r="P42" s="280" t="s">
        <v>93</v>
      </c>
      <c r="Q42" s="280" t="s">
        <v>92</v>
      </c>
      <c r="R42" s="280" t="s">
        <v>408</v>
      </c>
      <c r="S42" s="66" t="s">
        <v>61</v>
      </c>
      <c r="T42" s="280" t="s">
        <v>18</v>
      </c>
      <c r="U42" s="63" t="s">
        <v>20</v>
      </c>
      <c r="V42" s="62" t="s">
        <v>21</v>
      </c>
      <c r="W42" s="63" t="s">
        <v>62</v>
      </c>
      <c r="X42" s="64" t="s">
        <v>63</v>
      </c>
      <c r="Y42" s="64" t="s">
        <v>64</v>
      </c>
      <c r="Z42" s="117" t="s">
        <v>204</v>
      </c>
      <c r="AA42" s="117" t="s">
        <v>205</v>
      </c>
      <c r="AB42" s="63" t="s">
        <v>227</v>
      </c>
      <c r="AC42" s="63" t="s">
        <v>225</v>
      </c>
      <c r="AD42" s="63" t="s">
        <v>226</v>
      </c>
      <c r="AE42" s="63" t="s">
        <v>228</v>
      </c>
      <c r="AF42" s="63" t="s">
        <v>229</v>
      </c>
      <c r="AG42" s="281" t="s">
        <v>351</v>
      </c>
      <c r="AH42" s="281" t="s">
        <v>352</v>
      </c>
      <c r="AI42" s="281" t="s">
        <v>353</v>
      </c>
      <c r="AJ42" s="281"/>
      <c r="AK42" s="281" t="s">
        <v>351</v>
      </c>
      <c r="AL42" s="281" t="s">
        <v>352</v>
      </c>
      <c r="AM42" s="281" t="s">
        <v>353</v>
      </c>
      <c r="AN42" s="281" t="s">
        <v>67</v>
      </c>
      <c r="AO42" s="281" t="s">
        <v>230</v>
      </c>
      <c r="AP42" s="281" t="s">
        <v>231</v>
      </c>
      <c r="AQ42" s="282" t="s">
        <v>409</v>
      </c>
      <c r="AR42" s="283" t="str">
        <f ca="1">IF(ISERROR(AO41),IF(ISERROR(AP41),"НЕТ",OFFSET(Q43,AP41-1,0,1)&amp;"-"&amp;OFFSET(AN43,AP41-1,0,1)&amp;"-Фланец"),OFFSET(Q43,AO41-1,0,1)&amp;"-"&amp;OFFSET(AN43,AO41-1,0,1)&amp;"-Cэндвич")</f>
        <v>ПРЭМ-32-D-Cэндвич</v>
      </c>
      <c r="AT42" s="284" t="str">
        <f ca="1">IF(ISERROR(AO41),IF(ISERROR(AP41),"НЕТ",OFFSET(Q43,AP41-1,0,1)&amp;"-"&amp;OFFSET(AN43,AP41-1,0,1)),OFFSET(Q43,AO41-1,0,1)&amp;"-"&amp;OFFSET(AN43,AO41-1,0,1))</f>
        <v>ПРЭМ-32-D</v>
      </c>
      <c r="AU42" s="338"/>
      <c r="AV42" s="41"/>
      <c r="AW42" s="41"/>
      <c r="AX42" s="41"/>
      <c r="AY42" s="41"/>
      <c r="AZ42" s="41"/>
      <c r="BA42" s="41"/>
      <c r="BB42" s="41"/>
      <c r="BC42" s="41"/>
    </row>
    <row r="43" spans="2:55" ht="18" customHeight="1" x14ac:dyDescent="0.4">
      <c r="B43" s="336" t="s">
        <v>27</v>
      </c>
      <c r="C43" s="337"/>
      <c r="D43" s="14">
        <f>D42*0.5</f>
        <v>9.8809523809523814</v>
      </c>
      <c r="E43" s="14">
        <f>D43</f>
        <v>9.8809523809523814</v>
      </c>
      <c r="F43" s="71"/>
      <c r="G43" s="14">
        <f>G42*0.04</f>
        <v>0.45714285714285718</v>
      </c>
      <c r="H43" s="96">
        <f>H42*0.04</f>
        <v>0.32</v>
      </c>
      <c r="I43" s="333"/>
      <c r="J43" s="69"/>
      <c r="L43" s="287" t="s">
        <v>74</v>
      </c>
      <c r="M43" s="288">
        <v>0.5</v>
      </c>
      <c r="N43" s="88">
        <f ca="1">OFFSET(DyTr_New,P41-1,1,1)</f>
        <v>6</v>
      </c>
      <c r="O43" s="88">
        <v>1</v>
      </c>
      <c r="P43" s="93" t="str">
        <f t="shared" ref="P43:P52" ca="1" si="81">IF(O43&lt;=$N$43,OFFSET(DyTr_New,$P$41-2+O43,4,1),"---")</f>
        <v>15-50</v>
      </c>
      <c r="Q43" s="93" t="str">
        <f t="shared" ref="Q43:Q52" ca="1" si="82">IF(O43&lt;=$N$43,OFFSET(DyTr_New,$P$41-2+O43,2,1),"---")</f>
        <v>ПРЭМ-15</v>
      </c>
      <c r="R43" s="93">
        <f t="shared" ref="R43:R52" ca="1" si="83">IF(O43&lt;=$N$43,OFFSET(DyTr_New,$P$41-2+O43,5,1),"---")</f>
        <v>15</v>
      </c>
      <c r="S43" s="93" t="str">
        <f t="shared" ref="S43:S52" ca="1" si="84">IF(O43&lt;=$N$43,OFFSET(DyTr_New,$P$41-2+O43,6,1),"---")</f>
        <v>30,14</v>
      </c>
      <c r="T43" s="93">
        <f ca="1">IF(O43&lt;=$N$43,($M$46/3.6)/((PI()*R43^2)/4000),"---")</f>
        <v>12.787735853010259</v>
      </c>
      <c r="U43" s="289">
        <f ca="1">IF(O43&lt;=$N$43,(T43*R43/$M$48/1000),"---")</f>
        <v>411391.52016111213</v>
      </c>
      <c r="V43" s="289">
        <f ca="1">IF(O43&lt;=$N$43,(1/(1.14+2*LOG((R43/$M$43),10))^2),"---")</f>
        <v>5.9655827422120798E-2</v>
      </c>
      <c r="W43" s="93">
        <f ca="1">IF(O43&lt;=$N$43,(IF(S43=0,0,(V43/(8*SIN(RADIANS(S43/2))))*(1-(R43/$M$45)^4))),"---")</f>
        <v>2.8448487298016373E-2</v>
      </c>
      <c r="X43" s="93">
        <f ca="1">IF(O43&lt;=$N$43,(3.2*TAN(RADIANS(S43/2))^1.25*(1-(R43/$M$45)^2)^2),"---")</f>
        <v>0.51397936922726728</v>
      </c>
      <c r="Y43" s="93">
        <f ca="1">IF(O43&lt;=$N$43,(IF(S43=0,0,V43/(8*SIN(RADIANS(S43/2)))*(1-(R43/$M$45)^4))),"---")</f>
        <v>2.8448487298016373E-2</v>
      </c>
      <c r="Z43" s="290">
        <f t="shared" ref="Z43:Z52" ca="1" si="85">IF(O43&lt;=$N$43,VLOOKUP(Q43&amp;"-Сэндвич",TypePFlow,3,FALSE),"---")</f>
        <v>0</v>
      </c>
      <c r="AA43" s="290">
        <f t="shared" ref="AA43:AA52" ca="1" si="86">IF(O43&lt;=$N$43,VLOOKUP(Q43&amp;"-Фланец",TypePFlow,3,FALSE),"---")</f>
        <v>0</v>
      </c>
      <c r="AB43" s="93">
        <f ca="1">IF(O43&lt;=$N$43,(V43*4+W43+X43+Y43)*T43^2/(2*9.81),"--")</f>
        <v>6.746910944216836</v>
      </c>
      <c r="AC43" s="291">
        <f ca="1">IF(O43&lt;=$N$43,(Z43*$M$46^2),"--")</f>
        <v>0</v>
      </c>
      <c r="AD43" s="93">
        <f ca="1">IF(O43&lt;=$N$43,(AA43*$M$46^2),"--")</f>
        <v>0</v>
      </c>
      <c r="AE43" s="93">
        <f ca="1">IF(O43&lt;=$N$43,(AB43+AC43),"---")</f>
        <v>6.746910944216836</v>
      </c>
      <c r="AF43" s="93">
        <f ca="1">IF(O43&lt;=$N$43,(AB43+AD43),"---")</f>
        <v>6.746910944216836</v>
      </c>
      <c r="AG43" s="292">
        <f t="shared" ref="AG43:AG52" ca="1" si="87">IF(O43&lt;=$N$43,VLOOKUP(Q43&amp;"-D",ParamPiterflow,2,FALSE),"---")</f>
        <v>0.04</v>
      </c>
      <c r="AH43" s="292">
        <f t="shared" ref="AH43:AH52" ca="1" si="88">IF(O43&lt;=$N$43,VLOOKUP(Q43&amp;"-C1",ParamPiterflow,2,FALSE),"---")</f>
        <v>2.4E-2</v>
      </c>
      <c r="AI43" s="292">
        <f t="shared" ref="AI43:AI52" ca="1" si="89">IF(O43&lt;=$N$43,VLOOKUP(Q43&amp;"-B1",ParamPiterflow,2,FALSE),"---")</f>
        <v>1.2999999999999999E-2</v>
      </c>
      <c r="AJ43" s="292">
        <f t="shared" ref="AJ43:AJ52" ca="1" si="90">IF(O43&lt;=$N$43,VLOOKUP(Q43&amp;"-D",ParamPiterflow,4,FALSE),"---")</f>
        <v>6</v>
      </c>
      <c r="AK43" s="293" t="b">
        <f ca="1">IF($O43&lt;=$N$43,AND(AG43&lt;$M$34,$AJ43&gt;$M$33),"---")</f>
        <v>0</v>
      </c>
      <c r="AL43" s="293" t="b">
        <f ca="1">IF($O43&lt;=$N$43,AND(AH43&lt;$M$34,$AJ43&gt;$M$33),"---")</f>
        <v>0</v>
      </c>
      <c r="AM43" s="293" t="b">
        <f ca="1">IF($O43&lt;=$N$43,AND(AI43&lt;$M$34,$AJ43&gt;$M$33),"---")</f>
        <v>0</v>
      </c>
      <c r="AN43" s="294" t="str">
        <f ca="1">IF($O43&lt;=$N$43,IF(AK43,"D",IF(AL43,"C1",IF(AM43,"B1","НЕТ"))),"---")</f>
        <v>НЕТ</v>
      </c>
      <c r="AO43" s="294" t="b">
        <f ca="1">IF($O43&lt;=$N$43,AND(AE43&lt;$M$44,NOT(AN43="НЕТ"),IF($F$25="Экономный",T43&lt;=3,IF(AND($F$25="Оптимальный",T43&gt;$H$50),T43&lt;=1.8,IF(AND($F$25="Затратный",T43&gt;$H$50),T43&lt;=1,T43&lt;=3)))),"---")</f>
        <v>0</v>
      </c>
      <c r="AP43" s="294" t="b">
        <f ca="1">IF($O43&lt;=$N$43,AND(AF43&lt;$M$44,NOT(AN43="НЕТ"),IF($F$25="Экономный",T43&lt;=3,IF(AND($F$25="Оптимальный",T43&gt;$H$50),T43&lt;=1.8,IF(AND($F$25="Затратный",T43&gt;$H$50),T43&lt;=1,T43&lt;=3)))),"---")</f>
        <v>0</v>
      </c>
      <c r="AQ43" s="295"/>
      <c r="AR43" s="296"/>
      <c r="AS43" s="259"/>
      <c r="AT43" s="259">
        <f ca="1">IF(ISERROR(AO41),IF(ISERROR(AP41),"НЕТ",AP41),AO41)</f>
        <v>4</v>
      </c>
    </row>
    <row r="44" spans="2:55" ht="18" customHeight="1" x14ac:dyDescent="0.4">
      <c r="D44" s="11"/>
      <c r="E44" s="11"/>
      <c r="H44" s="97"/>
      <c r="I44" s="333"/>
      <c r="K44" s="69"/>
      <c r="L44" s="297" t="s">
        <v>189</v>
      </c>
      <c r="M44" s="298">
        <f>H31</f>
        <v>0.5</v>
      </c>
      <c r="N44" s="88"/>
      <c r="O44" s="88">
        <v>2</v>
      </c>
      <c r="P44" s="93" t="str">
        <f t="shared" ca="1" si="81"/>
        <v>20-50</v>
      </c>
      <c r="Q44" s="93" t="str">
        <f t="shared" ca="1" si="82"/>
        <v>ПРЭМ-20</v>
      </c>
      <c r="R44" s="93">
        <f t="shared" ca="1" si="83"/>
        <v>20</v>
      </c>
      <c r="S44" s="93" t="str">
        <f t="shared" ca="1" si="84"/>
        <v>46,4</v>
      </c>
      <c r="T44" s="93">
        <f t="shared" ref="T44:T52" ca="1" si="91">IF(O44&lt;=$N$43,($M$46/3.6)/((PI()*R44^2)/4000),"---")</f>
        <v>7.193101417318271</v>
      </c>
      <c r="U44" s="289">
        <f t="shared" ref="U44:U52" ca="1" si="92">IF(O44&lt;=$N$43,(T44*R44/$M$48/1000),"---")</f>
        <v>308543.64012083411</v>
      </c>
      <c r="V44" s="289">
        <f t="shared" ref="V44:V52" ca="1" si="93">IF(O44&lt;=$N$43,(1/(1.14+2*LOG((R44/$M$43),10))^2),"---")</f>
        <v>5.2990299783484442E-2</v>
      </c>
      <c r="W44" s="93">
        <f t="shared" ref="W44:W52" ca="1" si="94">IF(O44&lt;=$N$43,(IF(S44=0,0,(V44/(8*SIN(RADIANS(S44/2))))*(1-(R44/$M$45)^4))),"---")</f>
        <v>1.6383680833374978E-2</v>
      </c>
      <c r="X44" s="93">
        <f t="shared" ref="X44:X52" ca="1" si="95">IF(O44&lt;=$N$43,(3.2*TAN(RADIANS(S44/2))^1.25*(1-(R44/$M$45)^2)^2),"---")</f>
        <v>0.78302287976523621</v>
      </c>
      <c r="Y44" s="93">
        <f t="shared" ref="Y44:Y52" ca="1" si="96">IF(O44&lt;=$N$43,(IF(S44=0,0,V44/(8*SIN(RADIANS(S44/2)))*(1-(R44/$M$45)^4))),"---")</f>
        <v>1.6383680833374978E-2</v>
      </c>
      <c r="Z44" s="290">
        <f t="shared" ca="1" si="85"/>
        <v>0</v>
      </c>
      <c r="AA44" s="290">
        <f t="shared" ca="1" si="86"/>
        <v>0</v>
      </c>
      <c r="AB44" s="93">
        <f t="shared" ref="AB44:AB52" ca="1" si="97">IF(O44&lt;=$N$43,(V44*4+W44+X44+Y44)*T44^2/(2*9.81),"--")</f>
        <v>2.71032554448125</v>
      </c>
      <c r="AC44" s="291">
        <f t="shared" ref="AC44:AC52" ca="1" si="98">IF(O44&lt;=$N$43,(Z44*$M$46^2),"--")</f>
        <v>0</v>
      </c>
      <c r="AD44" s="93">
        <f t="shared" ref="AD44:AD52" ca="1" si="99">IF(O44&lt;=$N$43,(AA44*$M$46^2),"--")</f>
        <v>0</v>
      </c>
      <c r="AE44" s="93">
        <f t="shared" ref="AE44:AE52" ca="1" si="100">IF(O44&lt;=$N$43,(AB44+AC44),"---")</f>
        <v>2.71032554448125</v>
      </c>
      <c r="AF44" s="93">
        <f t="shared" ref="AF44:AF52" ca="1" si="101">IF(O44&lt;=$N$43,(AB44+AD44),"---")</f>
        <v>2.71032554448125</v>
      </c>
      <c r="AG44" s="292">
        <f t="shared" ca="1" si="87"/>
        <v>0.08</v>
      </c>
      <c r="AH44" s="292">
        <f t="shared" ca="1" si="88"/>
        <v>4.8000000000000001E-2</v>
      </c>
      <c r="AI44" s="292">
        <f t="shared" ca="1" si="89"/>
        <v>2.7E-2</v>
      </c>
      <c r="AJ44" s="292">
        <f t="shared" ca="1" si="90"/>
        <v>12</v>
      </c>
      <c r="AK44" s="293" t="b">
        <f t="shared" ref="AK44:AK52" ca="1" si="102">IF($O44&lt;=$N$43,AND(AG44&lt;$M$34,$AJ44&gt;$M$33),"---")</f>
        <v>1</v>
      </c>
      <c r="AL44" s="293" t="b">
        <f t="shared" ref="AL44:AL52" ca="1" si="103">IF($O44&lt;=$N$43,AND(AH44&lt;$M$34,$AJ44&gt;$M$33),"---")</f>
        <v>1</v>
      </c>
      <c r="AM44" s="293" t="b">
        <f t="shared" ref="AM44:AM52" ca="1" si="104">IF($O44&lt;=$N$43,AND(AI44&lt;$M$34,$AJ44&gt;$M$33),"---")</f>
        <v>1</v>
      </c>
      <c r="AN44" s="294" t="str">
        <f t="shared" ref="AN44:AN52" ca="1" si="105">IF($O44&lt;=$N$43,IF(AK44,"D",IF(AL44,"C1",IF(AM44,"B1","НЕТ"))),"---")</f>
        <v>D</v>
      </c>
      <c r="AO44" s="294" t="b">
        <f t="shared" ref="AO44:AO52" ca="1" si="106">IF($O44&lt;=$N$43,AND(AE44&lt;$M$44,NOT(AN44="НЕТ"),IF($F$25="Экономный",T44&lt;=3,IF(AND($F$25="Оптимальный",T44&gt;$H$50),T44&lt;=1.8,IF(AND($F$25="Затратный",T44&gt;$H$50),T44&lt;=1,T44&lt;=3)))),"---")</f>
        <v>0</v>
      </c>
      <c r="AP44" s="294" t="b">
        <f t="shared" ref="AP44:AP52" ca="1" si="107">IF($O44&lt;=$N$43,AND(AF44&lt;$M$44,NOT(AN44="НЕТ"),IF($F$25="Экономный",T44&lt;=3,IF(AND($F$25="Оптимальный",T44&gt;$H$50),T44&lt;=1.8,IF(AND($F$25="Затратный",T44&gt;$H$50),T44&lt;=1,T44&lt;=3)))),"---")</f>
        <v>0</v>
      </c>
      <c r="AQ44" s="299" t="s">
        <v>18</v>
      </c>
      <c r="AR44" s="300">
        <f ca="1">OFFSET(T43,IF(ISERROR(AO41),IF(ISERROR(AP41),"НЕТ",AP41),AO41)-1,0,1)</f>
        <v>2.8098052411399492</v>
      </c>
      <c r="AS44" s="259"/>
      <c r="AT44" s="259"/>
    </row>
    <row r="45" spans="2:55" ht="18" customHeight="1" x14ac:dyDescent="0.4">
      <c r="B45" s="336" t="s">
        <v>29</v>
      </c>
      <c r="C45" s="337"/>
      <c r="D45" s="75">
        <f>VLOOKUP(D30,TemperGrafik,2,FALSE)</f>
        <v>130</v>
      </c>
      <c r="E45" s="34">
        <f>VLOOKUP(D30,TemperGrafik,4,FALSE)</f>
        <v>70</v>
      </c>
      <c r="F45" s="339"/>
      <c r="G45" s="34">
        <f>VLOOKUP(G30,TemperGrafikGVS,2,FALSE)</f>
        <v>75</v>
      </c>
      <c r="H45" s="34">
        <f>VLOOKUP(G30,TemperGrafikGVS,4,FALSE)</f>
        <v>60</v>
      </c>
      <c r="I45" s="56"/>
      <c r="L45" s="302" t="s">
        <v>410</v>
      </c>
      <c r="M45" s="303">
        <f>$H$32</f>
        <v>50</v>
      </c>
      <c r="N45" s="88"/>
      <c r="O45" s="88">
        <v>3</v>
      </c>
      <c r="P45" s="93" t="str">
        <f t="shared" ca="1" si="81"/>
        <v>25-50</v>
      </c>
      <c r="Q45" s="93" t="str">
        <f t="shared" ca="1" si="82"/>
        <v>ПРЭМ-25</v>
      </c>
      <c r="R45" s="93">
        <f t="shared" ca="1" si="83"/>
        <v>25</v>
      </c>
      <c r="S45" s="93" t="str">
        <f t="shared" ca="1" si="84"/>
        <v>39,3</v>
      </c>
      <c r="T45" s="93">
        <f t="shared" ca="1" si="91"/>
        <v>4.6035849070836932</v>
      </c>
      <c r="U45" s="289">
        <f t="shared" ca="1" si="92"/>
        <v>246834.91209666728</v>
      </c>
      <c r="V45" s="289">
        <f t="shared" ca="1" si="93"/>
        <v>4.8560427292756572E-2</v>
      </c>
      <c r="W45" s="93">
        <f t="shared" ca="1" si="94"/>
        <v>1.6922755912707779E-2</v>
      </c>
      <c r="X45" s="93">
        <f t="shared" ca="1" si="95"/>
        <v>0.49683315067415684</v>
      </c>
      <c r="Y45" s="93">
        <f t="shared" ca="1" si="96"/>
        <v>1.6922755912707779E-2</v>
      </c>
      <c r="Z45" s="290">
        <f t="shared" ca="1" si="85"/>
        <v>0</v>
      </c>
      <c r="AA45" s="290">
        <f t="shared" ca="1" si="86"/>
        <v>0</v>
      </c>
      <c r="AB45" s="93">
        <f t="shared" ca="1" si="97"/>
        <v>0.78303940290119223</v>
      </c>
      <c r="AC45" s="291">
        <f t="shared" ca="1" si="98"/>
        <v>0</v>
      </c>
      <c r="AD45" s="93">
        <f t="shared" ca="1" si="99"/>
        <v>0</v>
      </c>
      <c r="AE45" s="93">
        <f t="shared" ca="1" si="100"/>
        <v>0.78303940290119223</v>
      </c>
      <c r="AF45" s="93">
        <f t="shared" ca="1" si="101"/>
        <v>0.78303940290119223</v>
      </c>
      <c r="AG45" s="292">
        <f t="shared" ca="1" si="87"/>
        <v>0.12</v>
      </c>
      <c r="AH45" s="292">
        <f t="shared" ca="1" si="88"/>
        <v>7.1999999999999995E-2</v>
      </c>
      <c r="AI45" s="292">
        <f t="shared" ca="1" si="89"/>
        <v>0.04</v>
      </c>
      <c r="AJ45" s="292">
        <f t="shared" ca="1" si="90"/>
        <v>18</v>
      </c>
      <c r="AK45" s="293" t="b">
        <f t="shared" ca="1" si="102"/>
        <v>1</v>
      </c>
      <c r="AL45" s="293" t="b">
        <f t="shared" ca="1" si="103"/>
        <v>1</v>
      </c>
      <c r="AM45" s="293" t="b">
        <f t="shared" ca="1" si="104"/>
        <v>1</v>
      </c>
      <c r="AN45" s="294" t="str">
        <f t="shared" ca="1" si="105"/>
        <v>D</v>
      </c>
      <c r="AO45" s="294" t="b">
        <f t="shared" ca="1" si="106"/>
        <v>0</v>
      </c>
      <c r="AP45" s="294" t="b">
        <f t="shared" ca="1" si="107"/>
        <v>0</v>
      </c>
      <c r="AQ45" s="65" t="s">
        <v>22</v>
      </c>
      <c r="AR45" s="300">
        <f ca="1">IF(ISERROR(AO41),IF(ISERROR(AP41),"НЕТ",OFFSET(AF43,AP41-1,0,1)),OFFSET(AE43,AO41-1,0,1))</f>
        <v>0.16833706624307379</v>
      </c>
      <c r="AS45" s="304"/>
      <c r="AT45" s="91">
        <f ca="1">IF(ISERROR(AO41),IF(ISERROR(AP41),"НЕТ",OFFSET(AF43,AP41-1,0,1)),OFFSET(AE43,AO41-1,0,1))</f>
        <v>0.16833706624307379</v>
      </c>
    </row>
    <row r="46" spans="2:55" ht="18" customHeight="1" x14ac:dyDescent="0.4">
      <c r="B46" s="340" t="s">
        <v>57</v>
      </c>
      <c r="C46" s="341"/>
      <c r="D46" s="14">
        <f>($D$45*0.01)^5*(-0.0005625*$D$33-1.3864)+($D$45*0.01)^4*(0.054517*$D$33+7.325)+($D$45*0.01)^3*(-0.27408*$D$33-15.474)+($D$45*0.01)^2*(0.52327*$D$33-5.0668)+$D$45*0.01*(-0.42067*$D$33-38.224)+0.16333*$D$33+1011.185</f>
        <v>935.07359949202498</v>
      </c>
      <c r="E46" s="14">
        <f>($E$45*0.01)^5*(-0.0005625*$E$33-1.3864)+($E$45*0.01)^4*(0.054517*$E$33+7.325)+($E$45*0.01)^3*(-0.27408*$E$33-15.474)+($E$45*0.01)^2*(0.52327*$E$33-5.0668)+$E$45*0.01*(-0.42067*$E$33-38.224)+0.16333*$E$33+1011.185</f>
        <v>978.384850513625</v>
      </c>
      <c r="G46" s="14">
        <f>($G$45*0.01)^5*(-0.0005625*$G$33-1.3864)+($G$45*0.01)^4*(0.054517*$G$33+7.325)+($G$45*0.01)^3*(-0.27408*$G$33-15.474)+($G$45*0.01)^2*(0.52327*$G$33-5.0668)+$G$45*0.01*(-0.42067*$G$33-38.224)+0.16333*$G$33+1011.185</f>
        <v>975.4330956870117</v>
      </c>
      <c r="H46" s="14">
        <f>H72</f>
        <v>983.3801327027054</v>
      </c>
      <c r="I46" s="8"/>
      <c r="L46" s="305" t="s">
        <v>71</v>
      </c>
      <c r="M46" s="306">
        <f>H47</f>
        <v>8.1352060449024268</v>
      </c>
      <c r="N46" s="88"/>
      <c r="O46" s="88">
        <v>4</v>
      </c>
      <c r="P46" s="93" t="str">
        <f t="shared" ca="1" si="81"/>
        <v>32-50</v>
      </c>
      <c r="Q46" s="93" t="str">
        <f t="shared" ca="1" si="82"/>
        <v>ПРЭМ-32</v>
      </c>
      <c r="R46" s="93">
        <f t="shared" ca="1" si="83"/>
        <v>32</v>
      </c>
      <c r="S46" s="93" t="str">
        <f t="shared" ca="1" si="84"/>
        <v>28,84</v>
      </c>
      <c r="T46" s="93">
        <f t="shared" ca="1" si="91"/>
        <v>2.8098052411399492</v>
      </c>
      <c r="U46" s="289">
        <f t="shared" ca="1" si="92"/>
        <v>192839.77507552129</v>
      </c>
      <c r="V46" s="289">
        <f t="shared" ca="1" si="93"/>
        <v>4.4277322004702871E-2</v>
      </c>
      <c r="W46" s="93">
        <f t="shared" ca="1" si="94"/>
        <v>1.8496325863946641E-2</v>
      </c>
      <c r="X46" s="93">
        <f t="shared" ca="1" si="95"/>
        <v>0.20423510163470199</v>
      </c>
      <c r="Y46" s="93">
        <f t="shared" ca="1" si="96"/>
        <v>1.8496325863946641E-2</v>
      </c>
      <c r="Z46" s="290">
        <f t="shared" ca="1" si="85"/>
        <v>0</v>
      </c>
      <c r="AA46" s="290">
        <f t="shared" ca="1" si="86"/>
        <v>0</v>
      </c>
      <c r="AB46" s="93">
        <f t="shared" ca="1" si="97"/>
        <v>0.16833706624307379</v>
      </c>
      <c r="AC46" s="291">
        <f t="shared" ca="1" si="98"/>
        <v>0</v>
      </c>
      <c r="AD46" s="93">
        <f t="shared" ca="1" si="99"/>
        <v>0</v>
      </c>
      <c r="AE46" s="93">
        <f t="shared" ca="1" si="100"/>
        <v>0.16833706624307379</v>
      </c>
      <c r="AF46" s="93">
        <f t="shared" ca="1" si="101"/>
        <v>0.16833706624307379</v>
      </c>
      <c r="AG46" s="292">
        <f t="shared" ca="1" si="87"/>
        <v>0.2</v>
      </c>
      <c r="AH46" s="292">
        <f t="shared" ca="1" si="88"/>
        <v>0.12</v>
      </c>
      <c r="AI46" s="292">
        <f t="shared" ca="1" si="89"/>
        <v>6.7000000000000004E-2</v>
      </c>
      <c r="AJ46" s="292">
        <f t="shared" ca="1" si="90"/>
        <v>30</v>
      </c>
      <c r="AK46" s="293" t="b">
        <f t="shared" ca="1" si="102"/>
        <v>1</v>
      </c>
      <c r="AL46" s="293" t="b">
        <f t="shared" ca="1" si="103"/>
        <v>1</v>
      </c>
      <c r="AM46" s="293" t="b">
        <f t="shared" ca="1" si="104"/>
        <v>1</v>
      </c>
      <c r="AN46" s="294" t="str">
        <f t="shared" ca="1" si="105"/>
        <v>D</v>
      </c>
      <c r="AO46" s="294" t="b">
        <f t="shared" ca="1" si="106"/>
        <v>1</v>
      </c>
      <c r="AP46" s="294" t="b">
        <f t="shared" ca="1" si="107"/>
        <v>1</v>
      </c>
      <c r="AQ46" s="307"/>
      <c r="AR46" s="308"/>
      <c r="AS46" s="309"/>
      <c r="AT46" s="310"/>
    </row>
    <row r="47" spans="2:55" ht="18" customHeight="1" x14ac:dyDescent="0.4">
      <c r="B47" s="340" t="s">
        <v>80</v>
      </c>
      <c r="C47" s="341"/>
      <c r="D47" s="14">
        <f>(D42)*1000/$D$46</f>
        <v>21.13406342841926</v>
      </c>
      <c r="E47" s="14">
        <f>(E42)*1000/$E$46</f>
        <v>20.198498322546911</v>
      </c>
      <c r="F47" s="343"/>
      <c r="G47" s="14">
        <f>G42*1000/$G$46</f>
        <v>11.716407285239917</v>
      </c>
      <c r="H47" s="14">
        <f>H42*1000/$H$46</f>
        <v>8.1352060449024268</v>
      </c>
      <c r="I47" s="333"/>
      <c r="L47" s="305" t="s">
        <v>72</v>
      </c>
      <c r="M47" s="306">
        <f>H48</f>
        <v>0.32540824179609706</v>
      </c>
      <c r="N47" s="88"/>
      <c r="O47" s="88">
        <v>5</v>
      </c>
      <c r="P47" s="93" t="str">
        <f t="shared" ca="1" si="81"/>
        <v>40-50</v>
      </c>
      <c r="Q47" s="93" t="str">
        <f t="shared" ca="1" si="82"/>
        <v>ПРЭМ-40</v>
      </c>
      <c r="R47" s="93">
        <f t="shared" ca="1" si="83"/>
        <v>40</v>
      </c>
      <c r="S47" s="93" t="str">
        <f t="shared" ca="1" si="84"/>
        <v>11,42</v>
      </c>
      <c r="T47" s="93">
        <f t="shared" ca="1" si="91"/>
        <v>1.7982753543295678</v>
      </c>
      <c r="U47" s="289">
        <f t="shared" ca="1" si="92"/>
        <v>154271.82006041706</v>
      </c>
      <c r="V47" s="289">
        <f t="shared" ca="1" si="93"/>
        <v>4.0875226338606262E-2</v>
      </c>
      <c r="W47" s="93">
        <f t="shared" ca="1" si="94"/>
        <v>3.0319510161434582E-2</v>
      </c>
      <c r="X47" s="93">
        <f t="shared" ca="1" si="95"/>
        <v>2.3318371452135389E-2</v>
      </c>
      <c r="Y47" s="93">
        <f t="shared" ca="1" si="96"/>
        <v>3.0319510161434582E-2</v>
      </c>
      <c r="Z47" s="290">
        <f t="shared" ca="1" si="85"/>
        <v>0</v>
      </c>
      <c r="AA47" s="290">
        <f t="shared" ca="1" si="86"/>
        <v>0</v>
      </c>
      <c r="AB47" s="93">
        <f t="shared" ca="1" si="97"/>
        <v>4.078640256724015E-2</v>
      </c>
      <c r="AC47" s="291">
        <f t="shared" ca="1" si="98"/>
        <v>0</v>
      </c>
      <c r="AD47" s="93">
        <f t="shared" ca="1" si="99"/>
        <v>0</v>
      </c>
      <c r="AE47" s="93">
        <f t="shared" ca="1" si="100"/>
        <v>4.078640256724015E-2</v>
      </c>
      <c r="AF47" s="93">
        <f t="shared" ca="1" si="101"/>
        <v>4.078640256724015E-2</v>
      </c>
      <c r="AG47" s="292">
        <f t="shared" ca="1" si="87"/>
        <v>0.3</v>
      </c>
      <c r="AH47" s="292">
        <f t="shared" ca="1" si="88"/>
        <v>0.18</v>
      </c>
      <c r="AI47" s="292">
        <f t="shared" ca="1" si="89"/>
        <v>0.1</v>
      </c>
      <c r="AJ47" s="292">
        <f t="shared" ca="1" si="90"/>
        <v>45</v>
      </c>
      <c r="AK47" s="293" t="b">
        <f t="shared" ca="1" si="102"/>
        <v>1</v>
      </c>
      <c r="AL47" s="293" t="b">
        <f t="shared" ca="1" si="103"/>
        <v>1</v>
      </c>
      <c r="AM47" s="293" t="b">
        <f t="shared" ca="1" si="104"/>
        <v>1</v>
      </c>
      <c r="AN47" s="294" t="str">
        <f t="shared" ca="1" si="105"/>
        <v>D</v>
      </c>
      <c r="AO47" s="294" t="b">
        <f t="shared" ca="1" si="106"/>
        <v>1</v>
      </c>
      <c r="AP47" s="294" t="b">
        <f t="shared" ca="1" si="107"/>
        <v>1</v>
      </c>
      <c r="AQ47" s="311"/>
      <c r="AR47" s="312"/>
      <c r="AS47" s="313"/>
      <c r="AT47" s="314"/>
    </row>
    <row r="48" spans="2:55" ht="18" customHeight="1" x14ac:dyDescent="0.4">
      <c r="B48" s="340" t="s">
        <v>79</v>
      </c>
      <c r="C48" s="341"/>
      <c r="D48" s="14">
        <f>(D43)*1000/$D$46</f>
        <v>10.56703171420963</v>
      </c>
      <c r="E48" s="14">
        <f>(E43)*1000/$E$46</f>
        <v>10.099249161273455</v>
      </c>
      <c r="G48" s="14">
        <f>G43*1000/$G$46</f>
        <v>0.46865629140959669</v>
      </c>
      <c r="H48" s="14">
        <f>H43*1000/$H$46</f>
        <v>0.32540824179609706</v>
      </c>
      <c r="I48" s="333"/>
      <c r="L48" s="305" t="s">
        <v>73</v>
      </c>
      <c r="M48" s="315">
        <f>H60</f>
        <v>4.6626152556580045E-7</v>
      </c>
      <c r="N48" s="88"/>
      <c r="O48" s="88">
        <v>6</v>
      </c>
      <c r="P48" s="93" t="str">
        <f t="shared" ca="1" si="81"/>
        <v>50-50</v>
      </c>
      <c r="Q48" s="93" t="str">
        <f t="shared" ca="1" si="82"/>
        <v>ПРЭМ-50</v>
      </c>
      <c r="R48" s="93">
        <f t="shared" ca="1" si="83"/>
        <v>50</v>
      </c>
      <c r="S48" s="93">
        <f t="shared" ca="1" si="84"/>
        <v>0</v>
      </c>
      <c r="T48" s="93">
        <f t="shared" ca="1" si="91"/>
        <v>1.1508962267709233</v>
      </c>
      <c r="U48" s="289">
        <f t="shared" ca="1" si="92"/>
        <v>123417.45604833364</v>
      </c>
      <c r="V48" s="289">
        <f t="shared" ca="1" si="93"/>
        <v>3.7850686611455138E-2</v>
      </c>
      <c r="W48" s="93">
        <f t="shared" ca="1" si="94"/>
        <v>0</v>
      </c>
      <c r="X48" s="93">
        <f t="shared" ca="1" si="95"/>
        <v>0</v>
      </c>
      <c r="Y48" s="93">
        <f t="shared" ca="1" si="96"/>
        <v>0</v>
      </c>
      <c r="Z48" s="290">
        <f t="shared" ca="1" si="85"/>
        <v>0</v>
      </c>
      <c r="AA48" s="290">
        <f t="shared" ca="1" si="86"/>
        <v>0</v>
      </c>
      <c r="AB48" s="93">
        <f t="shared" ca="1" si="97"/>
        <v>1.0221322300313852E-2</v>
      </c>
      <c r="AC48" s="291">
        <f t="shared" ca="1" si="98"/>
        <v>0</v>
      </c>
      <c r="AD48" s="93">
        <f t="shared" ca="1" si="99"/>
        <v>0</v>
      </c>
      <c r="AE48" s="93">
        <f t="shared" ca="1" si="100"/>
        <v>1.0221322300313852E-2</v>
      </c>
      <c r="AF48" s="93">
        <f t="shared" ca="1" si="101"/>
        <v>1.0221322300313852E-2</v>
      </c>
      <c r="AG48" s="292">
        <f t="shared" ca="1" si="87"/>
        <v>0.48</v>
      </c>
      <c r="AH48" s="292">
        <f t="shared" ca="1" si="88"/>
        <v>0.28799999999999998</v>
      </c>
      <c r="AI48" s="292">
        <f t="shared" ca="1" si="89"/>
        <v>0.16</v>
      </c>
      <c r="AJ48" s="292">
        <f t="shared" ca="1" si="90"/>
        <v>72</v>
      </c>
      <c r="AK48" s="293" t="b">
        <f t="shared" ca="1" si="102"/>
        <v>0</v>
      </c>
      <c r="AL48" s="293" t="b">
        <f t="shared" ca="1" si="103"/>
        <v>1</v>
      </c>
      <c r="AM48" s="293" t="b">
        <f t="shared" ca="1" si="104"/>
        <v>1</v>
      </c>
      <c r="AN48" s="294" t="str">
        <f t="shared" ca="1" si="105"/>
        <v>C1</v>
      </c>
      <c r="AO48" s="294" t="b">
        <f t="shared" ca="1" si="106"/>
        <v>1</v>
      </c>
      <c r="AP48" s="294" t="b">
        <f t="shared" ca="1" si="107"/>
        <v>1</v>
      </c>
      <c r="AQ48" s="91"/>
      <c r="AS48" s="316"/>
      <c r="AT48" s="317"/>
    </row>
    <row r="49" spans="2:46" ht="25" customHeight="1" thickBot="1" x14ac:dyDescent="0.35">
      <c r="D49" s="24" t="str">
        <f>IF(D50&gt;=3,"Большая скорость потока!","")</f>
        <v/>
      </c>
      <c r="E49" s="24" t="str">
        <f>IF(E50&gt;=3,"Большая скорость потока!","")</f>
        <v/>
      </c>
      <c r="F49" s="24"/>
      <c r="G49" s="24" t="str">
        <f>IF(G50&gt;=3,"Большая скорость потока!","")</f>
        <v/>
      </c>
      <c r="H49" s="24" t="str">
        <f>IF(H50&gt;=3,"Большая скорость потока!","")</f>
        <v/>
      </c>
      <c r="I49" s="333"/>
      <c r="L49" s="318" t="s">
        <v>102</v>
      </c>
      <c r="M49" s="319">
        <f>(M46/3.6)/((PI()*M45^2)/4000)</f>
        <v>1.1508962267709233</v>
      </c>
      <c r="O49" s="88">
        <v>7</v>
      </c>
      <c r="P49" s="93" t="str">
        <f t="shared" ca="1" si="81"/>
        <v>---</v>
      </c>
      <c r="Q49" s="93" t="str">
        <f t="shared" ca="1" si="82"/>
        <v>---</v>
      </c>
      <c r="R49" s="93" t="str">
        <f t="shared" ca="1" si="83"/>
        <v>---</v>
      </c>
      <c r="S49" s="93" t="str">
        <f t="shared" ca="1" si="84"/>
        <v>---</v>
      </c>
      <c r="T49" s="93" t="str">
        <f t="shared" ca="1" si="91"/>
        <v>---</v>
      </c>
      <c r="U49" s="289" t="str">
        <f t="shared" ca="1" si="92"/>
        <v>---</v>
      </c>
      <c r="V49" s="289" t="str">
        <f t="shared" ca="1" si="93"/>
        <v>---</v>
      </c>
      <c r="W49" s="93" t="str">
        <f t="shared" ca="1" si="94"/>
        <v>---</v>
      </c>
      <c r="X49" s="93" t="str">
        <f t="shared" ca="1" si="95"/>
        <v>---</v>
      </c>
      <c r="Y49" s="93" t="str">
        <f t="shared" ca="1" si="96"/>
        <v>---</v>
      </c>
      <c r="Z49" s="290" t="str">
        <f t="shared" ca="1" si="85"/>
        <v>---</v>
      </c>
      <c r="AA49" s="290" t="str">
        <f t="shared" ca="1" si="86"/>
        <v>---</v>
      </c>
      <c r="AB49" s="93" t="str">
        <f t="shared" ca="1" si="97"/>
        <v>--</v>
      </c>
      <c r="AC49" s="291" t="str">
        <f t="shared" ca="1" si="98"/>
        <v>--</v>
      </c>
      <c r="AD49" s="93" t="str">
        <f t="shared" ca="1" si="99"/>
        <v>--</v>
      </c>
      <c r="AE49" s="93" t="str">
        <f t="shared" ca="1" si="100"/>
        <v>---</v>
      </c>
      <c r="AF49" s="93" t="str">
        <f t="shared" ca="1" si="101"/>
        <v>---</v>
      </c>
      <c r="AG49" s="292" t="str">
        <f t="shared" ca="1" si="87"/>
        <v>---</v>
      </c>
      <c r="AH49" s="292" t="str">
        <f t="shared" ca="1" si="88"/>
        <v>---</v>
      </c>
      <c r="AI49" s="292" t="str">
        <f t="shared" ca="1" si="89"/>
        <v>---</v>
      </c>
      <c r="AJ49" s="292" t="str">
        <f t="shared" ca="1" si="90"/>
        <v>---</v>
      </c>
      <c r="AK49" s="293" t="str">
        <f t="shared" ca="1" si="102"/>
        <v>---</v>
      </c>
      <c r="AL49" s="293" t="str">
        <f t="shared" ca="1" si="103"/>
        <v>---</v>
      </c>
      <c r="AM49" s="293" t="str">
        <f t="shared" ca="1" si="104"/>
        <v>---</v>
      </c>
      <c r="AN49" s="294" t="str">
        <f t="shared" ca="1" si="105"/>
        <v>---</v>
      </c>
      <c r="AO49" s="294" t="str">
        <f t="shared" ca="1" si="106"/>
        <v>---</v>
      </c>
      <c r="AP49" s="294" t="str">
        <f t="shared" ca="1" si="107"/>
        <v>---</v>
      </c>
      <c r="AR49" s="320"/>
      <c r="AT49" s="9"/>
    </row>
    <row r="50" spans="2:46" ht="18" customHeight="1" x14ac:dyDescent="0.3">
      <c r="B50" s="340" t="s">
        <v>24</v>
      </c>
      <c r="C50" s="341"/>
      <c r="D50" s="61">
        <f>M10</f>
        <v>1.1679134243925604</v>
      </c>
      <c r="E50" s="26">
        <f>M23</f>
        <v>1.1162121010648254</v>
      </c>
      <c r="G50" s="26">
        <f>M36</f>
        <v>0.98078849952601022</v>
      </c>
      <c r="H50" s="26">
        <f>M49</f>
        <v>1.1508962267709233</v>
      </c>
      <c r="I50" s="333"/>
      <c r="O50" s="88">
        <v>8</v>
      </c>
      <c r="P50" s="93" t="str">
        <f t="shared" ca="1" si="81"/>
        <v>---</v>
      </c>
      <c r="Q50" s="93" t="str">
        <f t="shared" ca="1" si="82"/>
        <v>---</v>
      </c>
      <c r="R50" s="93" t="str">
        <f t="shared" ca="1" si="83"/>
        <v>---</v>
      </c>
      <c r="S50" s="93" t="str">
        <f t="shared" ca="1" si="84"/>
        <v>---</v>
      </c>
      <c r="T50" s="93" t="str">
        <f t="shared" ca="1" si="91"/>
        <v>---</v>
      </c>
      <c r="U50" s="289" t="str">
        <f t="shared" ca="1" si="92"/>
        <v>---</v>
      </c>
      <c r="V50" s="289" t="str">
        <f t="shared" ca="1" si="93"/>
        <v>---</v>
      </c>
      <c r="W50" s="93" t="str">
        <f t="shared" ca="1" si="94"/>
        <v>---</v>
      </c>
      <c r="X50" s="93" t="str">
        <f t="shared" ca="1" si="95"/>
        <v>---</v>
      </c>
      <c r="Y50" s="93" t="str">
        <f t="shared" ca="1" si="96"/>
        <v>---</v>
      </c>
      <c r="Z50" s="290" t="str">
        <f t="shared" ca="1" si="85"/>
        <v>---</v>
      </c>
      <c r="AA50" s="290" t="str">
        <f t="shared" ca="1" si="86"/>
        <v>---</v>
      </c>
      <c r="AB50" s="93" t="str">
        <f t="shared" ca="1" si="97"/>
        <v>--</v>
      </c>
      <c r="AC50" s="291" t="str">
        <f t="shared" ca="1" si="98"/>
        <v>--</v>
      </c>
      <c r="AD50" s="93" t="str">
        <f t="shared" ca="1" si="99"/>
        <v>--</v>
      </c>
      <c r="AE50" s="93" t="str">
        <f t="shared" ca="1" si="100"/>
        <v>---</v>
      </c>
      <c r="AF50" s="93" t="str">
        <f t="shared" ca="1" si="101"/>
        <v>---</v>
      </c>
      <c r="AG50" s="292" t="str">
        <f t="shared" ca="1" si="87"/>
        <v>---</v>
      </c>
      <c r="AH50" s="292" t="str">
        <f t="shared" ca="1" si="88"/>
        <v>---</v>
      </c>
      <c r="AI50" s="292" t="str">
        <f t="shared" ca="1" si="89"/>
        <v>---</v>
      </c>
      <c r="AJ50" s="292" t="str">
        <f t="shared" ca="1" si="90"/>
        <v>---</v>
      </c>
      <c r="AK50" s="293" t="str">
        <f t="shared" ca="1" si="102"/>
        <v>---</v>
      </c>
      <c r="AL50" s="293" t="str">
        <f t="shared" ca="1" si="103"/>
        <v>---</v>
      </c>
      <c r="AM50" s="293" t="str">
        <f t="shared" ca="1" si="104"/>
        <v>---</v>
      </c>
      <c r="AN50" s="294" t="str">
        <f t="shared" ca="1" si="105"/>
        <v>---</v>
      </c>
      <c r="AO50" s="294" t="str">
        <f t="shared" ca="1" si="106"/>
        <v>---</v>
      </c>
      <c r="AP50" s="294" t="str">
        <f t="shared" ca="1" si="107"/>
        <v>---</v>
      </c>
      <c r="AR50" s="320"/>
      <c r="AT50" s="91"/>
    </row>
    <row r="51" spans="2:46" ht="18" customHeight="1" x14ac:dyDescent="0.4">
      <c r="B51" s="340" t="s">
        <v>25</v>
      </c>
      <c r="C51" s="341"/>
      <c r="D51" s="12">
        <f ca="1">AR5</f>
        <v>2.9898583664449547</v>
      </c>
      <c r="E51" s="12">
        <f ca="1">AR18</f>
        <v>2.8575029787259529</v>
      </c>
      <c r="G51" s="12">
        <f ca="1">AR31</f>
        <v>2.5898946315608709</v>
      </c>
      <c r="H51" s="12">
        <f ca="1">AR44</f>
        <v>2.8098052411399492</v>
      </c>
      <c r="I51" s="329"/>
      <c r="O51" s="88">
        <v>9</v>
      </c>
      <c r="P51" s="93" t="str">
        <f t="shared" ca="1" si="81"/>
        <v>---</v>
      </c>
      <c r="Q51" s="93" t="str">
        <f t="shared" ca="1" si="82"/>
        <v>---</v>
      </c>
      <c r="R51" s="93" t="str">
        <f t="shared" ca="1" si="83"/>
        <v>---</v>
      </c>
      <c r="S51" s="93" t="str">
        <f t="shared" ca="1" si="84"/>
        <v>---</v>
      </c>
      <c r="T51" s="93" t="str">
        <f t="shared" ca="1" si="91"/>
        <v>---</v>
      </c>
      <c r="U51" s="289" t="str">
        <f t="shared" ca="1" si="92"/>
        <v>---</v>
      </c>
      <c r="V51" s="289" t="str">
        <f t="shared" ca="1" si="93"/>
        <v>---</v>
      </c>
      <c r="W51" s="93" t="str">
        <f t="shared" ca="1" si="94"/>
        <v>---</v>
      </c>
      <c r="X51" s="93" t="str">
        <f t="shared" ca="1" si="95"/>
        <v>---</v>
      </c>
      <c r="Y51" s="93" t="str">
        <f t="shared" ca="1" si="96"/>
        <v>---</v>
      </c>
      <c r="Z51" s="290" t="str">
        <f t="shared" ca="1" si="85"/>
        <v>---</v>
      </c>
      <c r="AA51" s="290" t="str">
        <f t="shared" ca="1" si="86"/>
        <v>---</v>
      </c>
      <c r="AB51" s="93" t="str">
        <f t="shared" ca="1" si="97"/>
        <v>--</v>
      </c>
      <c r="AC51" s="291" t="str">
        <f t="shared" ca="1" si="98"/>
        <v>--</v>
      </c>
      <c r="AD51" s="93" t="str">
        <f t="shared" ca="1" si="99"/>
        <v>--</v>
      </c>
      <c r="AE51" s="93" t="str">
        <f t="shared" ca="1" si="100"/>
        <v>---</v>
      </c>
      <c r="AF51" s="93" t="str">
        <f t="shared" ca="1" si="101"/>
        <v>---</v>
      </c>
      <c r="AG51" s="292" t="str">
        <f t="shared" ca="1" si="87"/>
        <v>---</v>
      </c>
      <c r="AH51" s="292" t="str">
        <f t="shared" ca="1" si="88"/>
        <v>---</v>
      </c>
      <c r="AI51" s="292" t="str">
        <f t="shared" ca="1" si="89"/>
        <v>---</v>
      </c>
      <c r="AJ51" s="292" t="str">
        <f t="shared" ca="1" si="90"/>
        <v>---</v>
      </c>
      <c r="AK51" s="293" t="str">
        <f t="shared" ca="1" si="102"/>
        <v>---</v>
      </c>
      <c r="AL51" s="293" t="str">
        <f t="shared" ca="1" si="103"/>
        <v>---</v>
      </c>
      <c r="AM51" s="293" t="str">
        <f t="shared" ca="1" si="104"/>
        <v>---</v>
      </c>
      <c r="AN51" s="294" t="str">
        <f t="shared" ca="1" si="105"/>
        <v>---</v>
      </c>
      <c r="AO51" s="294" t="str">
        <f t="shared" ca="1" si="106"/>
        <v>---</v>
      </c>
      <c r="AP51" s="294" t="str">
        <f t="shared" ca="1" si="107"/>
        <v>---</v>
      </c>
      <c r="AS51" s="41"/>
      <c r="AT51" s="91"/>
    </row>
    <row r="52" spans="2:46" ht="18" customHeight="1" x14ac:dyDescent="0.4">
      <c r="B52" s="340" t="s">
        <v>26</v>
      </c>
      <c r="C52" s="341"/>
      <c r="D52" s="12">
        <f ca="1">AR6</f>
        <v>0.17179108865098366</v>
      </c>
      <c r="E52" s="12">
        <f ca="1">AR19</f>
        <v>0.15691800716051232</v>
      </c>
      <c r="G52" s="12">
        <f ca="1">AR32</f>
        <v>0.13001674673280927</v>
      </c>
      <c r="H52" s="12">
        <f ca="1">AR45</f>
        <v>0.16833706624307379</v>
      </c>
      <c r="I52" s="329"/>
      <c r="O52" s="88">
        <v>10</v>
      </c>
      <c r="P52" s="93" t="str">
        <f t="shared" ca="1" si="81"/>
        <v>---</v>
      </c>
      <c r="Q52" s="93" t="str">
        <f t="shared" ca="1" si="82"/>
        <v>---</v>
      </c>
      <c r="R52" s="93" t="str">
        <f t="shared" ca="1" si="83"/>
        <v>---</v>
      </c>
      <c r="S52" s="93" t="str">
        <f t="shared" ca="1" si="84"/>
        <v>---</v>
      </c>
      <c r="T52" s="93" t="str">
        <f t="shared" ca="1" si="91"/>
        <v>---</v>
      </c>
      <c r="U52" s="289" t="str">
        <f t="shared" ca="1" si="92"/>
        <v>---</v>
      </c>
      <c r="V52" s="289" t="str">
        <f t="shared" ca="1" si="93"/>
        <v>---</v>
      </c>
      <c r="W52" s="93" t="str">
        <f t="shared" ca="1" si="94"/>
        <v>---</v>
      </c>
      <c r="X52" s="93" t="str">
        <f t="shared" ca="1" si="95"/>
        <v>---</v>
      </c>
      <c r="Y52" s="93" t="str">
        <f t="shared" ca="1" si="96"/>
        <v>---</v>
      </c>
      <c r="Z52" s="290" t="str">
        <f t="shared" ca="1" si="85"/>
        <v>---</v>
      </c>
      <c r="AA52" s="290" t="str">
        <f t="shared" ca="1" si="86"/>
        <v>---</v>
      </c>
      <c r="AB52" s="93" t="str">
        <f t="shared" ca="1" si="97"/>
        <v>--</v>
      </c>
      <c r="AC52" s="291" t="str">
        <f t="shared" ca="1" si="98"/>
        <v>--</v>
      </c>
      <c r="AD52" s="93" t="str">
        <f t="shared" ca="1" si="99"/>
        <v>--</v>
      </c>
      <c r="AE52" s="93" t="str">
        <f t="shared" ca="1" si="100"/>
        <v>---</v>
      </c>
      <c r="AF52" s="93" t="str">
        <f t="shared" ca="1" si="101"/>
        <v>---</v>
      </c>
      <c r="AG52" s="292" t="str">
        <f t="shared" ca="1" si="87"/>
        <v>---</v>
      </c>
      <c r="AH52" s="292" t="str">
        <f t="shared" ca="1" si="88"/>
        <v>---</v>
      </c>
      <c r="AI52" s="292" t="str">
        <f t="shared" ca="1" si="89"/>
        <v>---</v>
      </c>
      <c r="AJ52" s="292" t="str">
        <f t="shared" ca="1" si="90"/>
        <v>---</v>
      </c>
      <c r="AK52" s="293" t="str">
        <f t="shared" ca="1" si="102"/>
        <v>---</v>
      </c>
      <c r="AL52" s="293" t="str">
        <f t="shared" ca="1" si="103"/>
        <v>---</v>
      </c>
      <c r="AM52" s="293" t="str">
        <f t="shared" ca="1" si="104"/>
        <v>---</v>
      </c>
      <c r="AN52" s="294" t="str">
        <f t="shared" ca="1" si="105"/>
        <v>---</v>
      </c>
      <c r="AO52" s="294" t="str">
        <f t="shared" ca="1" si="106"/>
        <v>---</v>
      </c>
      <c r="AP52" s="294" t="str">
        <f t="shared" ca="1" si="107"/>
        <v>---</v>
      </c>
      <c r="AS52" s="41"/>
      <c r="AT52" s="91"/>
    </row>
    <row r="53" spans="2:46" ht="18" customHeight="1" x14ac:dyDescent="0.4">
      <c r="I53" s="329"/>
      <c r="L53" s="360"/>
      <c r="M53" s="334"/>
      <c r="N53" s="334"/>
      <c r="O53" s="41"/>
      <c r="P53" s="41"/>
      <c r="Q53" s="41"/>
      <c r="R53" s="10"/>
      <c r="S53" s="10"/>
      <c r="T53" s="41"/>
      <c r="U53" s="10"/>
      <c r="V53" s="10"/>
      <c r="W53" s="41"/>
      <c r="X53" s="41"/>
      <c r="Y53" s="41"/>
      <c r="Z53" s="41"/>
      <c r="AA53" s="41"/>
      <c r="AB53" s="41"/>
      <c r="AC53" s="41"/>
      <c r="AD53" s="41"/>
    </row>
    <row r="54" spans="2:46" ht="18" hidden="1" customHeight="1" x14ac:dyDescent="0.4">
      <c r="D54" s="24"/>
      <c r="E54" s="24"/>
      <c r="F54" s="24"/>
      <c r="G54" s="24"/>
      <c r="H54" s="24"/>
      <c r="I54" s="329"/>
      <c r="L54" s="41"/>
      <c r="M54" s="334"/>
      <c r="N54" s="334"/>
      <c r="O54" s="41"/>
      <c r="P54" s="41"/>
      <c r="Q54" s="41"/>
      <c r="R54" s="41"/>
      <c r="S54" s="41"/>
      <c r="T54" s="41"/>
      <c r="U54" s="10"/>
      <c r="V54" s="10"/>
      <c r="W54" s="41"/>
      <c r="X54" s="41"/>
      <c r="Y54" s="41"/>
      <c r="Z54" s="41"/>
      <c r="AA54" s="41"/>
      <c r="AB54" s="41"/>
      <c r="AC54" s="41"/>
      <c r="AD54" s="41"/>
    </row>
    <row r="55" spans="2:46" ht="18" hidden="1" customHeight="1" x14ac:dyDescent="0.4">
      <c r="I55" s="329"/>
      <c r="K55" s="352"/>
      <c r="L55" s="334"/>
      <c r="M55" s="334"/>
      <c r="N55" s="334"/>
      <c r="O55" s="41"/>
      <c r="P55" s="41"/>
      <c r="Q55" s="41"/>
      <c r="R55" s="10"/>
      <c r="S55" s="10"/>
      <c r="T55" s="41"/>
      <c r="U55" s="10"/>
      <c r="V55" s="10"/>
      <c r="W55" s="41"/>
      <c r="X55" s="41"/>
      <c r="Y55" s="41"/>
      <c r="Z55" s="41"/>
      <c r="AA55" s="41"/>
      <c r="AB55" s="41"/>
      <c r="AC55" s="41"/>
      <c r="AD55" s="41"/>
    </row>
    <row r="56" spans="2:46" ht="18" hidden="1" customHeight="1" x14ac:dyDescent="0.3">
      <c r="I56" s="8"/>
      <c r="L56" s="334"/>
      <c r="M56" s="334"/>
      <c r="N56" s="334"/>
      <c r="O56" s="41"/>
      <c r="P56" s="41"/>
      <c r="Q56" s="41"/>
      <c r="R56" s="10"/>
      <c r="S56" s="10"/>
      <c r="T56" s="41"/>
      <c r="U56" s="10"/>
      <c r="V56" s="10"/>
      <c r="W56" s="41"/>
      <c r="X56" s="41"/>
      <c r="Y56" s="41"/>
      <c r="Z56" s="41"/>
      <c r="AA56" s="41"/>
      <c r="AB56" s="41"/>
      <c r="AC56" s="41"/>
      <c r="AD56" s="41"/>
    </row>
    <row r="57" spans="2:46" ht="18" hidden="1" customHeight="1" x14ac:dyDescent="0.3">
      <c r="I57" s="8"/>
      <c r="J57" s="352"/>
      <c r="L57" s="334"/>
      <c r="M57" s="334"/>
      <c r="N57" s="334"/>
      <c r="O57" s="41"/>
      <c r="P57" s="41"/>
      <c r="Q57" s="41"/>
      <c r="R57" s="10"/>
      <c r="S57" s="10"/>
      <c r="T57" s="41"/>
      <c r="U57" s="10"/>
      <c r="V57" s="10"/>
      <c r="W57" s="41"/>
      <c r="X57" s="41"/>
      <c r="Y57" s="41"/>
      <c r="Z57" s="41"/>
      <c r="AA57" s="41"/>
      <c r="AB57" s="41"/>
      <c r="AC57" s="41"/>
      <c r="AD57" s="41"/>
    </row>
    <row r="58" spans="2:46" ht="18" hidden="1" customHeight="1" x14ac:dyDescent="0.3">
      <c r="I58" s="8"/>
      <c r="L58" s="334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 spans="2:46" ht="18" hidden="1" customHeight="1" x14ac:dyDescent="0.3">
      <c r="L59" s="334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2:46" ht="18" hidden="1" customHeight="1" x14ac:dyDescent="0.3">
      <c r="C60" s="6" t="s">
        <v>19</v>
      </c>
      <c r="D60" s="23">
        <f>0.00000178/(1+0.0337*$D$45+0.000221*$D$45^2)</f>
        <v>1.9526322140435939E-7</v>
      </c>
      <c r="E60" s="23">
        <f>0.00000178/(1+0.0337*$E$45+0.000221*$E$45^2)</f>
        <v>4.0072941759157111E-7</v>
      </c>
      <c r="G60" s="23">
        <f>0.00000178/(1+0.0337*$G$45+0.000221*$G$45^2)</f>
        <v>3.7311672998820908E-7</v>
      </c>
      <c r="H60" s="23">
        <f>0.00000178/(1+0.0337*$H$45+0.000221*$H$45^2)</f>
        <v>4.6626152556580045E-7</v>
      </c>
      <c r="L60" s="334"/>
      <c r="M60" s="349"/>
      <c r="N60" s="349"/>
      <c r="O60" s="258"/>
      <c r="P60" s="258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2:46" ht="18" hidden="1" customHeight="1" x14ac:dyDescent="0.3">
      <c r="L61" s="334"/>
      <c r="M61" s="46"/>
      <c r="N61" s="46"/>
      <c r="O61" s="46"/>
      <c r="P61" s="46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2:46" ht="18" hidden="1" customHeight="1" x14ac:dyDescent="0.3">
      <c r="D62" s="354" t="str">
        <f>"Тр1 DN"&amp;D32</f>
        <v>Тр1 DN80</v>
      </c>
      <c r="E62" s="354" t="str">
        <f>"Тр2 DN"&amp;E32</f>
        <v>Тр2 DN80</v>
      </c>
      <c r="G62" s="354" t="str">
        <f>"Тр3 DN"&amp;G32</f>
        <v>Тр3 DN65</v>
      </c>
      <c r="H62" s="354" t="str">
        <f>"Тр4 DN"&amp;H32</f>
        <v>Тр4 DN50</v>
      </c>
      <c r="L62" s="334"/>
      <c r="M62" s="45"/>
      <c r="N62" s="45"/>
      <c r="O62" s="45"/>
      <c r="P62" s="45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2:46" ht="18" hidden="1" customHeight="1" x14ac:dyDescent="0.4">
      <c r="C63" s="329"/>
      <c r="D63" s="8"/>
      <c r="E63" s="8"/>
      <c r="F63" s="8"/>
      <c r="G63" s="8"/>
      <c r="H63" s="8"/>
      <c r="L63" s="334"/>
      <c r="M63" s="45"/>
      <c r="N63" s="45"/>
      <c r="O63" s="45"/>
      <c r="P63" s="45"/>
      <c r="Q63" s="349"/>
      <c r="R63" s="349"/>
      <c r="S63" s="349"/>
      <c r="T63" s="258"/>
      <c r="U63" s="258"/>
      <c r="V63" s="258"/>
      <c r="W63" s="258"/>
      <c r="X63" s="349"/>
      <c r="Y63" s="349"/>
      <c r="Z63" s="258"/>
      <c r="AA63" s="258"/>
      <c r="AB63" s="258"/>
      <c r="AC63" s="258"/>
      <c r="AD63" s="349"/>
    </row>
    <row r="64" spans="2:46" ht="18" hidden="1" customHeight="1" x14ac:dyDescent="0.3">
      <c r="C64" s="333"/>
      <c r="D64" s="355"/>
      <c r="E64" s="8"/>
      <c r="F64" s="8"/>
      <c r="G64" s="8"/>
      <c r="H64" s="8"/>
      <c r="L64" s="334"/>
      <c r="M64" s="48"/>
      <c r="N64" s="48"/>
      <c r="O64" s="48"/>
      <c r="P64" s="48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</row>
    <row r="65" spans="3:55" ht="18" hidden="1" customHeight="1" x14ac:dyDescent="0.3">
      <c r="C65" s="333"/>
      <c r="D65" s="355"/>
      <c r="E65" s="8"/>
      <c r="F65" s="8"/>
      <c r="G65" s="8"/>
      <c r="H65" s="8"/>
      <c r="L65" s="334"/>
      <c r="M65" s="49"/>
      <c r="N65" s="49"/>
      <c r="O65" s="49"/>
      <c r="P65" s="49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</row>
    <row r="66" spans="3:55" ht="18" hidden="1" customHeight="1" x14ac:dyDescent="0.3">
      <c r="C66" s="91"/>
      <c r="D66" s="92" t="s">
        <v>140</v>
      </c>
      <c r="E66" s="92" t="s">
        <v>152</v>
      </c>
      <c r="F66" s="91"/>
      <c r="G66" s="92" t="s">
        <v>153</v>
      </c>
      <c r="H66" s="92" t="s">
        <v>154</v>
      </c>
      <c r="L66" s="334"/>
      <c r="M66" s="46"/>
      <c r="N66" s="46"/>
      <c r="O66" s="46"/>
      <c r="P66" s="4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</row>
    <row r="67" spans="3:55" ht="18" hidden="1" customHeight="1" x14ac:dyDescent="0.3">
      <c r="C67" s="93" t="s">
        <v>146</v>
      </c>
      <c r="D67" s="399">
        <f>D45+273.15</f>
        <v>403.15</v>
      </c>
      <c r="E67" s="399">
        <f>E45+273.15</f>
        <v>343.15</v>
      </c>
      <c r="F67" s="91"/>
      <c r="G67" s="399">
        <f>G45+273.15</f>
        <v>348.15</v>
      </c>
      <c r="H67" s="399">
        <f>H45+273.15</f>
        <v>333.15</v>
      </c>
      <c r="L67" s="334"/>
      <c r="M67" s="46"/>
      <c r="N67" s="46"/>
      <c r="O67" s="46"/>
      <c r="P67" s="46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</row>
    <row r="68" spans="3:55" ht="18" hidden="1" customHeight="1" x14ac:dyDescent="0.3">
      <c r="C68" s="93" t="s">
        <v>147</v>
      </c>
      <c r="D68" s="93">
        <f>D33*0.0980665</f>
        <v>0.68646549999999995</v>
      </c>
      <c r="E68" s="93">
        <f>E33*0.0980665</f>
        <v>0.4903325</v>
      </c>
      <c r="F68" s="91"/>
      <c r="G68" s="93">
        <f>G33*0.0980665</f>
        <v>0.68646549999999995</v>
      </c>
      <c r="H68" s="93">
        <f>H33*0.0980665</f>
        <v>0.4903325</v>
      </c>
      <c r="L68" s="334"/>
      <c r="M68" s="50"/>
      <c r="N68" s="50"/>
      <c r="O68" s="50"/>
      <c r="P68" s="50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spans="3:55" ht="18" hidden="1" customHeight="1" x14ac:dyDescent="0.3">
      <c r="C69" s="400" t="s">
        <v>148</v>
      </c>
      <c r="D69" s="93">
        <f>1386/D67</f>
        <v>3.4379263301500682</v>
      </c>
      <c r="E69" s="93">
        <f>1386/E67</f>
        <v>4.0390499781436695</v>
      </c>
      <c r="F69" s="91"/>
      <c r="G69" s="93">
        <f>1386/G67</f>
        <v>3.9810426540284363</v>
      </c>
      <c r="H69" s="93">
        <f>1386/H67</f>
        <v>4.1602881584871678</v>
      </c>
      <c r="L69" s="41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</row>
    <row r="70" spans="3:55" ht="18" hidden="1" customHeight="1" x14ac:dyDescent="0.3">
      <c r="C70" s="400" t="s">
        <v>149</v>
      </c>
      <c r="D70" s="93">
        <f>D68/16.53</f>
        <v>4.1528463399879E-2</v>
      </c>
      <c r="E70" s="93">
        <f>E68/16.53</f>
        <v>2.9663188142770719E-2</v>
      </c>
      <c r="F70" s="91"/>
      <c r="G70" s="93">
        <f>G68/16.53</f>
        <v>4.1528463399879E-2</v>
      </c>
      <c r="H70" s="93">
        <f>H68/16.53</f>
        <v>2.9663188142770719E-2</v>
      </c>
      <c r="L70" s="41"/>
      <c r="M70" s="51"/>
      <c r="N70" s="51"/>
      <c r="O70" s="51"/>
      <c r="P70" s="51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3:55" ht="18" hidden="1" customHeight="1" x14ac:dyDescent="0.3">
      <c r="C71" s="401" t="s">
        <v>150</v>
      </c>
      <c r="D71" s="401">
        <f>D70*H114*F114*D67/D68</f>
        <v>1.0694638104050829</v>
      </c>
      <c r="E71" s="401">
        <f>E70*I114*F114*E67/E68</f>
        <v>1.0225467089744245</v>
      </c>
      <c r="F71" s="91"/>
      <c r="G71" s="402">
        <f>G70*J114*F114*G67/G68</f>
        <v>1.0255191554455854</v>
      </c>
      <c r="H71" s="402">
        <f>H70*K114*F114*H67/H68</f>
        <v>1.0169007556128034</v>
      </c>
      <c r="L71" s="349"/>
      <c r="M71" s="53"/>
      <c r="N71" s="53"/>
      <c r="O71" s="53"/>
      <c r="P71" s="53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</row>
    <row r="72" spans="3:55" ht="18" hidden="1" customHeight="1" x14ac:dyDescent="0.3">
      <c r="C72" s="93"/>
      <c r="D72" s="403">
        <f>1/D71*1000</f>
        <v>935.0480028129499</v>
      </c>
      <c r="E72" s="403">
        <f>1/E71*1000</f>
        <v>977.95043612527195</v>
      </c>
      <c r="F72" s="91"/>
      <c r="G72" s="403">
        <f>1/G71*1000</f>
        <v>975.11586662221112</v>
      </c>
      <c r="H72" s="403">
        <f>1/H71*1000</f>
        <v>983.3801327027054</v>
      </c>
      <c r="L72" s="46"/>
      <c r="M72" s="258"/>
      <c r="N72" s="258"/>
      <c r="O72" s="41"/>
      <c r="P72" s="41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</row>
    <row r="73" spans="3:55" ht="18" hidden="1" customHeight="1" x14ac:dyDescent="0.3">
      <c r="L73" s="45"/>
      <c r="M73" s="258"/>
      <c r="N73" s="258"/>
      <c r="O73" s="41"/>
      <c r="P73" s="4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</row>
    <row r="74" spans="3:55" ht="18" hidden="1" customHeight="1" x14ac:dyDescent="0.3">
      <c r="L74" s="45"/>
      <c r="M74" s="360"/>
      <c r="N74" s="360"/>
      <c r="O74" s="41"/>
      <c r="P74" s="41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1"/>
      <c r="AE74" s="8"/>
      <c r="AF74" s="8"/>
      <c r="AG74" s="8"/>
      <c r="AH74" s="8"/>
    </row>
    <row r="75" spans="3:55" ht="18" hidden="1" customHeight="1" x14ac:dyDescent="0.3">
      <c r="L75" s="48"/>
      <c r="M75" s="360"/>
      <c r="N75" s="360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8"/>
      <c r="AF75" s="8"/>
      <c r="AG75" s="8"/>
      <c r="AH75" s="8"/>
    </row>
    <row r="76" spans="3:55" ht="18" hidden="1" customHeight="1" x14ac:dyDescent="0.3">
      <c r="L76" s="49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8"/>
      <c r="AF76" s="8"/>
      <c r="AG76" s="8"/>
      <c r="AH76" s="8"/>
      <c r="AQ76" s="41"/>
    </row>
    <row r="77" spans="3:55" ht="18" hidden="1" customHeight="1" x14ac:dyDescent="0.3">
      <c r="L77" s="46"/>
      <c r="M77" s="334"/>
      <c r="N77" s="334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8"/>
      <c r="AF77" s="8"/>
      <c r="AG77" s="8"/>
      <c r="AH77" s="8"/>
      <c r="AQ77" s="10"/>
      <c r="AR77" s="41"/>
      <c r="AS77" s="41"/>
      <c r="AT77" s="10"/>
      <c r="AU77" s="10"/>
      <c r="AV77" s="41"/>
      <c r="AW77" s="41"/>
      <c r="AX77" s="41"/>
      <c r="AY77" s="41"/>
      <c r="AZ77" s="41"/>
      <c r="BA77" s="41"/>
      <c r="BB77" s="41"/>
      <c r="BC77" s="41"/>
    </row>
    <row r="78" spans="3:55" ht="18" hidden="1" customHeight="1" x14ac:dyDescent="0.3">
      <c r="L78" s="46"/>
      <c r="M78" s="334"/>
      <c r="N78" s="334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Q78" s="41"/>
      <c r="AR78" s="10"/>
      <c r="AS78" s="41"/>
      <c r="AT78" s="10"/>
      <c r="AU78" s="10"/>
      <c r="AV78" s="41"/>
      <c r="AW78" s="41"/>
      <c r="AX78" s="41"/>
      <c r="AY78" s="41"/>
      <c r="AZ78" s="41"/>
      <c r="BA78" s="41"/>
      <c r="BB78" s="41"/>
      <c r="BC78" s="41"/>
    </row>
    <row r="79" spans="3:55" ht="18" hidden="1" customHeight="1" x14ac:dyDescent="0.5">
      <c r="C79" s="370" t="s">
        <v>141</v>
      </c>
      <c r="D79" s="370" t="s">
        <v>142</v>
      </c>
      <c r="E79" s="370" t="s">
        <v>143</v>
      </c>
      <c r="F79" s="371" t="s">
        <v>144</v>
      </c>
      <c r="G79" s="372"/>
      <c r="H79" s="373" t="s">
        <v>145</v>
      </c>
      <c r="I79" s="373" t="s">
        <v>145</v>
      </c>
      <c r="J79" s="373" t="s">
        <v>145</v>
      </c>
      <c r="K79" s="373" t="s">
        <v>145</v>
      </c>
      <c r="L79" s="50"/>
      <c r="M79" s="334"/>
      <c r="N79" s="334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Q79" s="10"/>
      <c r="AR79" s="41"/>
      <c r="AS79" s="41"/>
      <c r="AT79" s="10"/>
      <c r="AU79" s="10"/>
      <c r="AV79" s="41"/>
      <c r="AW79" s="41"/>
      <c r="AX79" s="41"/>
      <c r="AY79" s="41"/>
      <c r="AZ79" s="41"/>
      <c r="BA79" s="41"/>
      <c r="BB79" s="41"/>
      <c r="BC79" s="41"/>
    </row>
    <row r="80" spans="3:55" ht="18" hidden="1" customHeight="1" x14ac:dyDescent="0.4">
      <c r="C80" s="357">
        <v>1</v>
      </c>
      <c r="D80" s="357">
        <v>0</v>
      </c>
      <c r="E80" s="357">
        <v>-2</v>
      </c>
      <c r="F80" s="374">
        <v>0.14632971213167001</v>
      </c>
      <c r="G80" s="375"/>
      <c r="H80" s="376">
        <f t="shared" ref="H80:H113" si="108">-F80*D80*(7.1-$D$70)^(D80-1)*($D$69-1.222)^E80</f>
        <v>0</v>
      </c>
      <c r="I80" s="376">
        <f>-F80*D80*(7.1-$E$70)^(D80-1)*($E$69-1.222)^E80</f>
        <v>0</v>
      </c>
      <c r="J80" s="377">
        <f>-F80*D80*(7.1-$G$70)^(D80-1)*($G$69-1.222)^E80</f>
        <v>0</v>
      </c>
      <c r="K80" s="377">
        <f>-F80*D80*(7.1-$H$70)^(D80-1)*($H$69-1.222)^E80</f>
        <v>0</v>
      </c>
      <c r="L80" s="46"/>
      <c r="M80" s="334"/>
      <c r="N80" s="334"/>
      <c r="O80" s="41"/>
      <c r="P80" s="41"/>
      <c r="Q80" s="41"/>
      <c r="R80" s="383"/>
      <c r="S80" s="383"/>
      <c r="T80" s="383"/>
      <c r="U80" s="383"/>
      <c r="V80" s="383"/>
      <c r="W80" s="41"/>
      <c r="X80" s="41"/>
      <c r="Y80" s="41"/>
      <c r="Z80" s="41"/>
      <c r="AA80" s="41"/>
      <c r="AB80" s="41"/>
      <c r="AC80" s="41"/>
      <c r="AD80" s="41"/>
      <c r="AQ80" s="10"/>
      <c r="AR80" s="10"/>
      <c r="AS80" s="41"/>
      <c r="AT80" s="10"/>
      <c r="AU80" s="10"/>
      <c r="AV80" s="41"/>
      <c r="AW80" s="41"/>
      <c r="AX80" s="41"/>
      <c r="AY80" s="41"/>
      <c r="AZ80" s="41"/>
      <c r="BA80" s="41"/>
      <c r="BB80" s="41"/>
      <c r="BC80" s="41"/>
    </row>
    <row r="81" spans="3:55" ht="18" hidden="1" customHeight="1" x14ac:dyDescent="0.4">
      <c r="C81" s="357">
        <v>2</v>
      </c>
      <c r="D81" s="357">
        <v>0</v>
      </c>
      <c r="E81" s="357">
        <v>-1</v>
      </c>
      <c r="F81" s="374">
        <v>-0.84548187169113997</v>
      </c>
      <c r="G81" s="375"/>
      <c r="H81" s="376">
        <f t="shared" si="108"/>
        <v>0</v>
      </c>
      <c r="I81" s="376">
        <f t="shared" ref="I81:I113" si="109">-F81*D81*(7.1-$E$70)^(D81-1)*($E$69-1.222)^E81</f>
        <v>0</v>
      </c>
      <c r="J81" s="377">
        <f t="shared" ref="J81:J113" si="110">-F81*D81*(7.1-$G$70)^(D81-1)*($G$69-1.222)^E81</f>
        <v>0</v>
      </c>
      <c r="K81" s="377">
        <f t="shared" ref="K81:K113" si="111">-F81*D81*(7.1-$H$70)^(D81-1)*($H$69-1.222)^E81</f>
        <v>0</v>
      </c>
      <c r="L81" s="51"/>
      <c r="M81" s="334"/>
      <c r="N81" s="334"/>
      <c r="O81" s="41"/>
      <c r="P81" s="41"/>
      <c r="Q81" s="41"/>
      <c r="R81" s="393"/>
      <c r="S81" s="393"/>
      <c r="T81" s="41"/>
      <c r="U81" s="393"/>
      <c r="V81" s="393"/>
      <c r="W81" s="41"/>
      <c r="X81" s="41"/>
      <c r="Y81" s="41"/>
      <c r="Z81" s="41"/>
      <c r="AA81" s="41"/>
      <c r="AB81" s="41"/>
      <c r="AC81" s="41"/>
      <c r="AD81" s="41"/>
      <c r="AQ81" s="10"/>
      <c r="AR81" s="10"/>
      <c r="AS81" s="41"/>
      <c r="AT81" s="10"/>
      <c r="AU81" s="10"/>
      <c r="AV81" s="41"/>
      <c r="AW81" s="41"/>
      <c r="AX81" s="41"/>
      <c r="AY81" s="41"/>
      <c r="AZ81" s="41"/>
      <c r="BA81" s="41"/>
      <c r="BB81" s="41"/>
      <c r="BC81" s="41"/>
    </row>
    <row r="82" spans="3:55" ht="18" hidden="1" customHeight="1" x14ac:dyDescent="0.3">
      <c r="C82" s="357">
        <v>3</v>
      </c>
      <c r="D82" s="357">
        <v>0</v>
      </c>
      <c r="E82" s="357">
        <v>0</v>
      </c>
      <c r="F82" s="374">
        <v>-3.756360367204</v>
      </c>
      <c r="G82" s="375"/>
      <c r="H82" s="376">
        <f t="shared" si="108"/>
        <v>0</v>
      </c>
      <c r="I82" s="376">
        <f t="shared" si="109"/>
        <v>0</v>
      </c>
      <c r="J82" s="377">
        <f t="shared" si="110"/>
        <v>0</v>
      </c>
      <c r="K82" s="377">
        <f t="shared" si="111"/>
        <v>0</v>
      </c>
      <c r="L82" s="53"/>
      <c r="M82" s="334"/>
      <c r="N82" s="334"/>
      <c r="O82" s="41"/>
      <c r="P82" s="41"/>
      <c r="Q82" s="41"/>
      <c r="R82" s="392"/>
      <c r="S82" s="394"/>
      <c r="T82" s="41"/>
      <c r="U82" s="394"/>
      <c r="V82" s="394"/>
      <c r="W82" s="41"/>
      <c r="X82" s="41"/>
      <c r="Y82" s="41"/>
      <c r="Z82" s="41"/>
      <c r="AA82" s="41"/>
      <c r="AB82" s="41"/>
      <c r="AC82" s="41"/>
      <c r="AD82" s="41"/>
      <c r="AQ82" s="41"/>
      <c r="AR82" s="10"/>
      <c r="AS82" s="41"/>
      <c r="AT82" s="10"/>
      <c r="AU82" s="10"/>
      <c r="AV82" s="41"/>
      <c r="AW82" s="41"/>
      <c r="AX82" s="41"/>
      <c r="AY82" s="41"/>
      <c r="AZ82" s="41"/>
      <c r="BA82" s="41"/>
      <c r="BB82" s="41"/>
      <c r="BC82" s="41"/>
    </row>
    <row r="83" spans="3:55" ht="18" hidden="1" customHeight="1" x14ac:dyDescent="0.35">
      <c r="C83" s="357">
        <v>4</v>
      </c>
      <c r="D83" s="357">
        <v>0</v>
      </c>
      <c r="E83" s="357">
        <v>1</v>
      </c>
      <c r="F83" s="374">
        <v>3.3855169168385002</v>
      </c>
      <c r="G83" s="375"/>
      <c r="H83" s="376">
        <f t="shared" si="108"/>
        <v>0</v>
      </c>
      <c r="I83" s="376">
        <f t="shared" si="109"/>
        <v>0</v>
      </c>
      <c r="J83" s="377">
        <f t="shared" si="110"/>
        <v>0</v>
      </c>
      <c r="K83" s="377">
        <f t="shared" si="111"/>
        <v>0</v>
      </c>
      <c r="L83" s="258"/>
      <c r="M83" s="334"/>
      <c r="N83" s="334"/>
      <c r="O83" s="41"/>
      <c r="P83" s="41"/>
      <c r="Q83" s="41"/>
      <c r="R83" s="316"/>
      <c r="S83" s="338"/>
      <c r="T83" s="41"/>
      <c r="U83" s="316"/>
      <c r="V83" s="338"/>
      <c r="W83" s="41"/>
      <c r="X83" s="41"/>
      <c r="Y83" s="41"/>
      <c r="Z83" s="41"/>
      <c r="AA83" s="41"/>
      <c r="AB83" s="41"/>
      <c r="AC83" s="41"/>
      <c r="AD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3:55" ht="18" hidden="1" customHeight="1" x14ac:dyDescent="0.3">
      <c r="C84" s="357">
        <v>5</v>
      </c>
      <c r="D84" s="357">
        <v>0</v>
      </c>
      <c r="E84" s="357">
        <v>2</v>
      </c>
      <c r="F84" s="374">
        <v>-0.95791963387872003</v>
      </c>
      <c r="G84" s="375"/>
      <c r="H84" s="376">
        <f t="shared" si="108"/>
        <v>0</v>
      </c>
      <c r="I84" s="376">
        <f t="shared" si="109"/>
        <v>0</v>
      </c>
      <c r="J84" s="377">
        <f t="shared" si="110"/>
        <v>0</v>
      </c>
      <c r="K84" s="377">
        <f t="shared" si="111"/>
        <v>0</v>
      </c>
      <c r="L84" s="258"/>
      <c r="M84" s="334"/>
      <c r="N84" s="334"/>
      <c r="O84" s="41"/>
      <c r="P84" s="41"/>
      <c r="Q84" s="41"/>
      <c r="R84" s="9"/>
      <c r="S84" s="9"/>
      <c r="T84" s="41"/>
      <c r="U84" s="9"/>
      <c r="V84" s="9"/>
      <c r="W84" s="41"/>
      <c r="X84" s="41"/>
      <c r="Y84" s="41"/>
      <c r="Z84" s="41"/>
      <c r="AA84" s="41"/>
      <c r="AB84" s="41"/>
      <c r="AC84" s="41"/>
      <c r="AD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3:55" ht="18" hidden="1" customHeight="1" x14ac:dyDescent="0.3">
      <c r="C85" s="357">
        <v>6</v>
      </c>
      <c r="D85" s="357">
        <v>0</v>
      </c>
      <c r="E85" s="357">
        <v>3</v>
      </c>
      <c r="F85" s="374">
        <v>0.15772038513228001</v>
      </c>
      <c r="G85" s="375"/>
      <c r="H85" s="376">
        <f t="shared" si="108"/>
        <v>0</v>
      </c>
      <c r="I85" s="376">
        <f t="shared" si="109"/>
        <v>0</v>
      </c>
      <c r="J85" s="377">
        <f t="shared" si="110"/>
        <v>0</v>
      </c>
      <c r="K85" s="377">
        <f t="shared" si="111"/>
        <v>0</v>
      </c>
      <c r="AJ85" s="360"/>
      <c r="AK85" s="334"/>
      <c r="AL85" s="334"/>
      <c r="AM85" s="334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3:55" ht="18" hidden="1" customHeight="1" x14ac:dyDescent="0.3">
      <c r="C86" s="357">
        <v>7</v>
      </c>
      <c r="D86" s="357">
        <v>0</v>
      </c>
      <c r="E86" s="357">
        <v>4</v>
      </c>
      <c r="F86" s="374">
        <v>-1.6616417199501E-2</v>
      </c>
      <c r="G86" s="375"/>
      <c r="H86" s="376">
        <f t="shared" si="108"/>
        <v>0</v>
      </c>
      <c r="I86" s="376">
        <f t="shared" si="109"/>
        <v>0</v>
      </c>
      <c r="J86" s="377">
        <f t="shared" si="110"/>
        <v>0</v>
      </c>
      <c r="K86" s="377">
        <f t="shared" si="111"/>
        <v>0</v>
      </c>
      <c r="AJ86" s="360"/>
      <c r="AK86" s="334"/>
      <c r="AL86" s="334"/>
      <c r="AM86" s="334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3:55" ht="18" hidden="1" customHeight="1" x14ac:dyDescent="0.3">
      <c r="C87" s="357">
        <v>8</v>
      </c>
      <c r="D87" s="357">
        <v>0</v>
      </c>
      <c r="E87" s="357">
        <v>5</v>
      </c>
      <c r="F87" s="374">
        <v>8.1214629983567997E-4</v>
      </c>
      <c r="G87" s="375"/>
      <c r="H87" s="376">
        <f t="shared" si="108"/>
        <v>0</v>
      </c>
      <c r="I87" s="376">
        <f t="shared" si="109"/>
        <v>0</v>
      </c>
      <c r="J87" s="377">
        <f t="shared" si="110"/>
        <v>0</v>
      </c>
      <c r="K87" s="377">
        <f t="shared" si="111"/>
        <v>0</v>
      </c>
      <c r="AJ87" s="41"/>
      <c r="AK87" s="334"/>
      <c r="AL87" s="334"/>
      <c r="AM87" s="334"/>
      <c r="AN87" s="41"/>
      <c r="AO87" s="41"/>
      <c r="AP87" s="41"/>
      <c r="AQ87" s="349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3:55" ht="18" hidden="1" customHeight="1" x14ac:dyDescent="0.3">
      <c r="C88" s="357">
        <v>9</v>
      </c>
      <c r="D88" s="357">
        <v>1</v>
      </c>
      <c r="E88" s="357">
        <v>-9</v>
      </c>
      <c r="F88" s="374">
        <v>2.8319080123804E-4</v>
      </c>
      <c r="G88" s="375"/>
      <c r="H88" s="376">
        <f t="shared" si="108"/>
        <v>-2.1982712553496113E-7</v>
      </c>
      <c r="I88" s="376">
        <f>-F88*D88*(7.1-$E$70)^(D88-1)*($E$69-1.222)^E88</f>
        <v>-2.534709392903721E-8</v>
      </c>
      <c r="J88" s="377">
        <f>-F88*D88*(7.1-$G$70)^(D88-1)*($G$69-1.222)^E88</f>
        <v>-3.0567041798351034E-8</v>
      </c>
      <c r="K88" s="377">
        <f t="shared" si="111"/>
        <v>-1.7347211690283853E-8</v>
      </c>
      <c r="AJ88" s="334"/>
      <c r="AK88" s="334"/>
      <c r="AL88" s="334"/>
      <c r="AM88" s="334"/>
      <c r="AN88" s="41"/>
      <c r="AO88" s="41"/>
      <c r="AP88" s="41"/>
      <c r="AQ88" s="46"/>
      <c r="AR88" s="349"/>
      <c r="AS88" s="258"/>
      <c r="AT88" s="258"/>
      <c r="AU88" s="258"/>
      <c r="AV88" s="258"/>
      <c r="AW88" s="349"/>
      <c r="AX88" s="349"/>
      <c r="AY88" s="258"/>
      <c r="AZ88" s="258"/>
      <c r="BA88" s="258"/>
      <c r="BB88" s="258"/>
      <c r="BC88" s="349"/>
    </row>
    <row r="89" spans="3:55" ht="18" hidden="1" customHeight="1" x14ac:dyDescent="0.3">
      <c r="C89" s="357">
        <v>10</v>
      </c>
      <c r="D89" s="357">
        <v>1</v>
      </c>
      <c r="E89" s="357">
        <v>-7</v>
      </c>
      <c r="F89" s="374">
        <v>-6.0706301565873996E-4</v>
      </c>
      <c r="G89" s="375"/>
      <c r="H89" s="376">
        <f t="shared" si="108"/>
        <v>2.313910461771335E-6</v>
      </c>
      <c r="I89" s="376">
        <f t="shared" si="109"/>
        <v>4.3119320756857168E-7</v>
      </c>
      <c r="J89" s="377">
        <f t="shared" si="110"/>
        <v>4.9879819446931661E-7</v>
      </c>
      <c r="K89" s="377">
        <f t="shared" si="111"/>
        <v>3.2105030052185256E-7</v>
      </c>
      <c r="AJ89" s="334"/>
      <c r="AK89" s="334"/>
      <c r="AL89" s="334"/>
      <c r="AM89" s="334"/>
      <c r="AN89" s="41"/>
      <c r="AO89" s="41"/>
      <c r="AP89" s="41"/>
      <c r="AQ89" s="45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</row>
    <row r="90" spans="3:55" ht="18" hidden="1" customHeight="1" x14ac:dyDescent="0.3">
      <c r="C90" s="357">
        <v>11</v>
      </c>
      <c r="D90" s="357">
        <v>1</v>
      </c>
      <c r="E90" s="357">
        <v>-1</v>
      </c>
      <c r="F90" s="374">
        <v>-1.8990068218419E-2</v>
      </c>
      <c r="G90" s="375"/>
      <c r="H90" s="376">
        <f t="shared" si="108"/>
        <v>8.569810268526816E-3</v>
      </c>
      <c r="I90" s="376">
        <f t="shared" si="109"/>
        <v>6.7411186758329173E-3</v>
      </c>
      <c r="J90" s="377">
        <f t="shared" si="110"/>
        <v>6.8828469145599796E-3</v>
      </c>
      <c r="K90" s="377">
        <f t="shared" si="111"/>
        <v>6.4629699995783904E-3</v>
      </c>
      <c r="AJ90" s="334"/>
      <c r="AK90" s="334"/>
      <c r="AL90" s="334"/>
      <c r="AM90" s="334"/>
      <c r="AN90" s="41"/>
      <c r="AO90" s="41"/>
      <c r="AP90" s="41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3:55" ht="18" hidden="1" customHeight="1" x14ac:dyDescent="0.3">
      <c r="C91" s="357">
        <v>12</v>
      </c>
      <c r="D91" s="357">
        <v>1</v>
      </c>
      <c r="E91" s="357">
        <v>0</v>
      </c>
      <c r="F91" s="374">
        <v>-3.2529748770504997E-2</v>
      </c>
      <c r="G91" s="375"/>
      <c r="H91" s="376">
        <f t="shared" si="108"/>
        <v>3.2529748770504997E-2</v>
      </c>
      <c r="I91" s="376">
        <f t="shared" si="109"/>
        <v>3.2529748770504997E-2</v>
      </c>
      <c r="J91" s="377">
        <f t="shared" si="110"/>
        <v>3.2529748770504997E-2</v>
      </c>
      <c r="K91" s="377">
        <f t="shared" si="111"/>
        <v>3.2529748770504997E-2</v>
      </c>
      <c r="AJ91" s="334"/>
      <c r="AK91" s="41"/>
      <c r="AL91" s="41"/>
      <c r="AM91" s="41"/>
      <c r="AN91" s="41"/>
      <c r="AO91" s="41"/>
      <c r="AP91" s="41"/>
      <c r="AQ91" s="48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</row>
    <row r="92" spans="3:55" ht="18" hidden="1" customHeight="1" x14ac:dyDescent="0.3">
      <c r="C92" s="357">
        <v>13</v>
      </c>
      <c r="D92" s="357">
        <v>1</v>
      </c>
      <c r="E92" s="357">
        <v>1</v>
      </c>
      <c r="F92" s="374">
        <v>-2.1841717175413999E-2</v>
      </c>
      <c r="G92" s="375"/>
      <c r="H92" s="376">
        <f t="shared" si="108"/>
        <v>4.8399636184690856E-2</v>
      </c>
      <c r="I92" s="376">
        <f t="shared" si="109"/>
        <v>6.1529208891620217E-2</v>
      </c>
      <c r="J92" s="377">
        <f t="shared" si="110"/>
        <v>6.0262229324192722E-2</v>
      </c>
      <c r="K92" s="377">
        <f t="shared" si="111"/>
        <v>6.4177258937544751E-2</v>
      </c>
      <c r="AJ92" s="334"/>
      <c r="AK92" s="41"/>
      <c r="AL92" s="41"/>
      <c r="AM92" s="41"/>
      <c r="AN92" s="41"/>
      <c r="AO92" s="41"/>
      <c r="AP92" s="41"/>
      <c r="AQ92" s="49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</row>
    <row r="93" spans="3:55" ht="15" hidden="1" x14ac:dyDescent="0.3">
      <c r="C93" s="357">
        <v>14</v>
      </c>
      <c r="D93" s="357">
        <v>1</v>
      </c>
      <c r="E93" s="357">
        <v>3</v>
      </c>
      <c r="F93" s="374">
        <v>-5.2838357969930002E-5</v>
      </c>
      <c r="G93" s="375"/>
      <c r="H93" s="376">
        <f t="shared" si="108"/>
        <v>5.7493039144052808E-4</v>
      </c>
      <c r="I93" s="376">
        <f t="shared" si="109"/>
        <v>1.1812259215529407E-3</v>
      </c>
      <c r="J93" s="377">
        <f t="shared" si="110"/>
        <v>1.1097484742839572E-3</v>
      </c>
      <c r="K93" s="377">
        <f t="shared" si="111"/>
        <v>1.340393976333466E-3</v>
      </c>
      <c r="AJ93" s="334"/>
      <c r="AK93" s="349"/>
      <c r="AL93" s="349"/>
      <c r="AM93" s="349"/>
      <c r="AN93" s="258"/>
      <c r="AO93" s="258"/>
      <c r="AP93" s="41"/>
      <c r="AQ93" s="46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</row>
    <row r="94" spans="3:55" ht="15" hidden="1" x14ac:dyDescent="0.3">
      <c r="C94" s="357">
        <v>15</v>
      </c>
      <c r="D94" s="357">
        <v>2</v>
      </c>
      <c r="E94" s="357">
        <v>-3</v>
      </c>
      <c r="F94" s="374">
        <v>-4.7184321073266998E-4</v>
      </c>
      <c r="G94" s="375"/>
      <c r="H94" s="376">
        <f t="shared" si="108"/>
        <v>6.1217053196458609E-4</v>
      </c>
      <c r="I94" s="376">
        <f t="shared" si="109"/>
        <v>2.9845863815808034E-4</v>
      </c>
      <c r="J94" s="377">
        <f t="shared" si="110"/>
        <v>3.1714884203634338E-4</v>
      </c>
      <c r="K94" s="377">
        <f t="shared" si="111"/>
        <v>2.6301750539649299E-4</v>
      </c>
      <c r="AJ94" s="334"/>
      <c r="AK94" s="46"/>
      <c r="AL94" s="46"/>
      <c r="AM94" s="46"/>
      <c r="AN94" s="46"/>
      <c r="AO94" s="46"/>
      <c r="AP94" s="41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</row>
    <row r="95" spans="3:55" ht="15" hidden="1" x14ac:dyDescent="0.3">
      <c r="C95" s="357">
        <v>16</v>
      </c>
      <c r="D95" s="357">
        <v>2</v>
      </c>
      <c r="E95" s="357">
        <v>0</v>
      </c>
      <c r="F95" s="374">
        <v>-3.0001780793025999E-4</v>
      </c>
      <c r="G95" s="375"/>
      <c r="H95" s="376">
        <f t="shared" si="108"/>
        <v>4.2353343154978044E-3</v>
      </c>
      <c r="I95" s="376">
        <f t="shared" si="109"/>
        <v>4.2424539032440579E-3</v>
      </c>
      <c r="J95" s="377">
        <f t="shared" si="110"/>
        <v>4.2353343154978044E-3</v>
      </c>
      <c r="K95" s="377">
        <f t="shared" si="111"/>
        <v>4.2424539032440579E-3</v>
      </c>
      <c r="AJ95" s="334"/>
      <c r="AK95" s="45"/>
      <c r="AL95" s="45"/>
      <c r="AM95" s="45"/>
      <c r="AN95" s="45"/>
      <c r="AO95" s="45"/>
      <c r="AP95" s="41"/>
      <c r="AQ95" s="50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</row>
    <row r="96" spans="3:55" ht="15" hidden="1" x14ac:dyDescent="0.3">
      <c r="C96" s="357">
        <v>17</v>
      </c>
      <c r="D96" s="357">
        <v>2</v>
      </c>
      <c r="E96" s="357">
        <v>1</v>
      </c>
      <c r="F96" s="374">
        <v>4.7661393906987001E-5</v>
      </c>
      <c r="G96" s="375"/>
      <c r="H96" s="376">
        <f t="shared" si="108"/>
        <v>-1.4909487694969308E-3</v>
      </c>
      <c r="I96" s="376">
        <f t="shared" si="109"/>
        <v>-1.8985908790791187E-3</v>
      </c>
      <c r="J96" s="377">
        <f t="shared" si="110"/>
        <v>-1.8563754552863045E-3</v>
      </c>
      <c r="K96" s="377">
        <f t="shared" si="111"/>
        <v>-1.9803010742060066E-3</v>
      </c>
      <c r="AJ96" s="334"/>
      <c r="AK96" s="45"/>
      <c r="AL96" s="45"/>
      <c r="AM96" s="45"/>
      <c r="AN96" s="45"/>
      <c r="AO96" s="45"/>
      <c r="AP96" s="349"/>
      <c r="AQ96" s="46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</row>
    <row r="97" spans="3:55" ht="15.45" hidden="1" x14ac:dyDescent="0.3">
      <c r="C97" s="357">
        <v>18</v>
      </c>
      <c r="D97" s="357">
        <v>2</v>
      </c>
      <c r="E97" s="357">
        <v>3</v>
      </c>
      <c r="F97" s="374">
        <v>-4.4141845330845997E-6</v>
      </c>
      <c r="G97" s="375"/>
      <c r="H97" s="376">
        <f t="shared" si="108"/>
        <v>6.7804278937263411E-4</v>
      </c>
      <c r="I97" s="376">
        <f t="shared" si="109"/>
        <v>1.3954177381040739E-3</v>
      </c>
      <c r="J97" s="377">
        <f t="shared" si="110"/>
        <v>1.3087792230293933E-3</v>
      </c>
      <c r="K97" s="377">
        <f t="shared" si="111"/>
        <v>1.5834477524541372E-3</v>
      </c>
      <c r="AJ97" s="334"/>
      <c r="AK97" s="48"/>
      <c r="AL97" s="48"/>
      <c r="AM97" s="48"/>
      <c r="AN97" s="48"/>
      <c r="AO97" s="48"/>
      <c r="AP97" s="46"/>
      <c r="AQ97" s="51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</row>
    <row r="98" spans="3:55" ht="15.45" hidden="1" x14ac:dyDescent="0.3">
      <c r="C98" s="357">
        <v>19</v>
      </c>
      <c r="D98" s="357">
        <v>2</v>
      </c>
      <c r="E98" s="357">
        <v>17</v>
      </c>
      <c r="F98" s="374">
        <v>-7.2694996297594001E-16</v>
      </c>
      <c r="G98" s="375"/>
      <c r="H98" s="376">
        <f t="shared" si="108"/>
        <v>7.6857381932593675E-9</v>
      </c>
      <c r="I98" s="376">
        <f t="shared" si="109"/>
        <v>4.5549330865626397E-7</v>
      </c>
      <c r="J98" s="377">
        <f>-F98*D98*(7.1-$G$70)^(D98-1)*($G$69-1.222)^E98</f>
        <v>3.1925538427977562E-7</v>
      </c>
      <c r="K98" s="377">
        <f t="shared" si="111"/>
        <v>9.323503977087614E-7</v>
      </c>
      <c r="AJ98" s="334"/>
      <c r="AK98" s="49"/>
      <c r="AL98" s="49"/>
      <c r="AM98" s="49"/>
      <c r="AN98" s="49"/>
      <c r="AO98" s="49"/>
      <c r="AP98" s="45"/>
      <c r="AQ98" s="53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</row>
    <row r="99" spans="3:55" ht="15" hidden="1" x14ac:dyDescent="0.3">
      <c r="C99" s="357">
        <v>20</v>
      </c>
      <c r="D99" s="357">
        <v>3</v>
      </c>
      <c r="E99" s="357">
        <v>-4</v>
      </c>
      <c r="F99" s="374">
        <v>-3.1679644845054002E-5</v>
      </c>
      <c r="G99" s="375"/>
      <c r="H99" s="376">
        <f t="shared" si="108"/>
        <v>1.9638197471263637E-4</v>
      </c>
      <c r="I99" s="376">
        <f t="shared" si="109"/>
        <v>7.5440326038403533E-5</v>
      </c>
      <c r="J99" s="377">
        <f t="shared" si="110"/>
        <v>8.17126388526265E-5</v>
      </c>
      <c r="K99" s="377">
        <f t="shared" si="111"/>
        <v>6.3738850240347927E-5</v>
      </c>
      <c r="AJ99" s="334"/>
      <c r="AK99" s="46"/>
      <c r="AL99" s="46"/>
      <c r="AM99" s="46"/>
      <c r="AN99" s="46"/>
      <c r="AO99" s="46"/>
      <c r="AP99" s="45"/>
      <c r="AQ99" s="41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41"/>
    </row>
    <row r="100" spans="3:55" ht="15" hidden="1" x14ac:dyDescent="0.3">
      <c r="C100" s="357">
        <v>21</v>
      </c>
      <c r="D100" s="357">
        <v>3</v>
      </c>
      <c r="E100" s="357">
        <v>0</v>
      </c>
      <c r="F100" s="374">
        <v>-2.8270797985312E-6</v>
      </c>
      <c r="G100" s="375"/>
      <c r="H100" s="376">
        <f t="shared" si="108"/>
        <v>4.2255248246437864E-4</v>
      </c>
      <c r="I100" s="376">
        <f t="shared" si="109"/>
        <v>4.2397429609631021E-4</v>
      </c>
      <c r="J100" s="377">
        <f t="shared" si="110"/>
        <v>4.2255248246437864E-4</v>
      </c>
      <c r="K100" s="377">
        <f t="shared" si="111"/>
        <v>4.2397429609631021E-4</v>
      </c>
      <c r="AJ100" s="334"/>
      <c r="AK100" s="46"/>
      <c r="AL100" s="46"/>
      <c r="AM100" s="46"/>
      <c r="AN100" s="46"/>
      <c r="AO100" s="46"/>
      <c r="AP100" s="48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</row>
    <row r="101" spans="3:55" ht="15" hidden="1" x14ac:dyDescent="0.3">
      <c r="C101" s="357">
        <v>22</v>
      </c>
      <c r="D101" s="357">
        <v>3</v>
      </c>
      <c r="E101" s="357">
        <v>6</v>
      </c>
      <c r="F101" s="374">
        <v>-8.5205128120103004E-10</v>
      </c>
      <c r="G101" s="375"/>
      <c r="H101" s="376">
        <f t="shared" si="108"/>
        <v>1.5077878225974695E-5</v>
      </c>
      <c r="I101" s="376">
        <f t="shared" si="109"/>
        <v>6.3860822298248741E-5</v>
      </c>
      <c r="J101" s="377">
        <f t="shared" si="110"/>
        <v>5.6177034750017514E-5</v>
      </c>
      <c r="K101" s="377">
        <f t="shared" si="111"/>
        <v>8.2230608436923474E-5</v>
      </c>
      <c r="AJ101" s="334"/>
      <c r="AK101" s="50"/>
      <c r="AL101" s="50"/>
      <c r="AM101" s="50"/>
      <c r="AN101" s="50"/>
      <c r="AO101" s="50"/>
      <c r="AP101" s="49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</row>
    <row r="102" spans="3:55" ht="15" hidden="1" x14ac:dyDescent="0.3">
      <c r="C102" s="357">
        <v>23</v>
      </c>
      <c r="D102" s="357">
        <v>4</v>
      </c>
      <c r="E102" s="357">
        <v>-5</v>
      </c>
      <c r="F102" s="374">
        <v>-2.2425281907999999E-6</v>
      </c>
      <c r="G102" s="375"/>
      <c r="H102" s="376">
        <f t="shared" si="108"/>
        <v>5.9040947202479798E-5</v>
      </c>
      <c r="I102" s="376">
        <f t="shared" si="109"/>
        <v>1.7870859947547514E-5</v>
      </c>
      <c r="J102" s="377">
        <f t="shared" si="110"/>
        <v>1.9730488268927707E-5</v>
      </c>
      <c r="K102" s="377">
        <f t="shared" si="111"/>
        <v>1.4475923751359169E-5</v>
      </c>
      <c r="AJ102" s="41"/>
      <c r="AK102" s="46"/>
      <c r="AL102" s="46"/>
      <c r="AM102" s="46"/>
      <c r="AN102" s="46"/>
      <c r="AO102" s="46"/>
      <c r="AP102" s="46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3:55" ht="15.45" hidden="1" x14ac:dyDescent="0.3">
      <c r="C103" s="357">
        <v>24</v>
      </c>
      <c r="D103" s="357">
        <v>4</v>
      </c>
      <c r="E103" s="357">
        <v>-2</v>
      </c>
      <c r="F103" s="374">
        <v>-6.5171222895601002E-7</v>
      </c>
      <c r="G103" s="375"/>
      <c r="H103" s="376">
        <f t="shared" si="108"/>
        <v>1.8669695258160664E-4</v>
      </c>
      <c r="I103" s="376">
        <f t="shared" si="109"/>
        <v>1.1610396902256198E-4</v>
      </c>
      <c r="J103" s="377">
        <f t="shared" si="110"/>
        <v>1.2042898767946993E-4</v>
      </c>
      <c r="K103" s="377">
        <f t="shared" si="111"/>
        <v>1.0672038925111231E-4</v>
      </c>
      <c r="AJ103" s="41"/>
      <c r="AK103" s="51"/>
      <c r="AL103" s="51"/>
      <c r="AM103" s="51"/>
      <c r="AN103" s="51"/>
      <c r="AO103" s="51"/>
      <c r="AP103" s="46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3:55" ht="15.45" hidden="1" x14ac:dyDescent="0.4">
      <c r="C104" s="357">
        <v>25</v>
      </c>
      <c r="D104" s="357">
        <v>4</v>
      </c>
      <c r="E104" s="357">
        <v>10</v>
      </c>
      <c r="F104" s="374">
        <v>-1.4341729937923999E-13</v>
      </c>
      <c r="G104" s="375"/>
      <c r="H104" s="376">
        <f t="shared" si="108"/>
        <v>5.7589951648680064E-7</v>
      </c>
      <c r="I104" s="376">
        <f t="shared" si="109"/>
        <v>6.3815673985494293E-6</v>
      </c>
      <c r="J104" s="377">
        <f t="shared" si="110"/>
        <v>5.1567690410982043E-6</v>
      </c>
      <c r="K104" s="377">
        <f t="shared" si="111"/>
        <v>9.7258079418658735E-6</v>
      </c>
      <c r="AJ104" s="349"/>
      <c r="AK104" s="46"/>
      <c r="AL104" s="46"/>
      <c r="AM104" s="46"/>
      <c r="AN104" s="46"/>
      <c r="AO104" s="46"/>
      <c r="AP104" s="50"/>
      <c r="AQ104" s="383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3:55" ht="15.45" hidden="1" x14ac:dyDescent="0.4">
      <c r="C105" s="357">
        <v>26</v>
      </c>
      <c r="D105" s="357">
        <v>5</v>
      </c>
      <c r="E105" s="357">
        <v>-8</v>
      </c>
      <c r="F105" s="374">
        <v>-4.0516996860117E-7</v>
      </c>
      <c r="G105" s="375"/>
      <c r="H105" s="376">
        <f t="shared" si="108"/>
        <v>8.6498261708990522E-6</v>
      </c>
      <c r="I105" s="376">
        <f t="shared" si="109"/>
        <v>1.2764718674668421E-6</v>
      </c>
      <c r="J105" s="377">
        <f t="shared" si="110"/>
        <v>1.4975543958864779E-6</v>
      </c>
      <c r="K105" s="377">
        <f t="shared" si="111"/>
        <v>9.1119763664636614E-7</v>
      </c>
      <c r="AJ105" s="46"/>
      <c r="AK105" s="258"/>
      <c r="AL105" s="258"/>
      <c r="AM105" s="258"/>
      <c r="AN105" s="41"/>
      <c r="AO105" s="41"/>
      <c r="AP105" s="46"/>
      <c r="AQ105" s="393"/>
      <c r="AR105" s="383"/>
      <c r="AS105" s="383"/>
      <c r="AT105" s="383"/>
      <c r="AU105" s="383"/>
      <c r="AV105" s="41"/>
      <c r="AW105" s="41"/>
      <c r="AX105" s="41"/>
      <c r="AY105" s="41"/>
      <c r="AZ105" s="41"/>
      <c r="BA105" s="41"/>
      <c r="BB105" s="41"/>
      <c r="BC105" s="41"/>
    </row>
    <row r="106" spans="3:55" ht="15.45" hidden="1" x14ac:dyDescent="0.4">
      <c r="C106" s="357">
        <v>27</v>
      </c>
      <c r="D106" s="357">
        <v>8</v>
      </c>
      <c r="E106" s="357">
        <v>-11</v>
      </c>
      <c r="F106" s="374">
        <v>-1.2734301741640999E-9</v>
      </c>
      <c r="G106" s="375"/>
      <c r="H106" s="376">
        <f t="shared" si="108"/>
        <v>1.4058251245075744E-6</v>
      </c>
      <c r="I106" s="376">
        <f t="shared" si="109"/>
        <v>1.0148591499429698E-7</v>
      </c>
      <c r="J106" s="377">
        <f t="shared" si="110"/>
        <v>1.2609481736975571E-7</v>
      </c>
      <c r="K106" s="377">
        <f t="shared" si="111"/>
        <v>6.3842165541478702E-8</v>
      </c>
      <c r="AJ106" s="45"/>
      <c r="AK106" s="258"/>
      <c r="AL106" s="258"/>
      <c r="AM106" s="258"/>
      <c r="AN106" s="41"/>
      <c r="AO106" s="41"/>
      <c r="AP106" s="51"/>
      <c r="AQ106" s="392"/>
      <c r="AR106" s="393"/>
      <c r="AS106" s="41"/>
      <c r="AT106" s="393"/>
      <c r="AU106" s="393"/>
      <c r="AV106" s="41"/>
      <c r="AW106" s="41"/>
      <c r="AX106" s="41"/>
      <c r="AY106" s="41"/>
      <c r="AZ106" s="41"/>
      <c r="BA106" s="41"/>
      <c r="BB106" s="41"/>
      <c r="BC106" s="41"/>
    </row>
    <row r="107" spans="3:55" ht="15.45" hidden="1" x14ac:dyDescent="0.35">
      <c r="C107" s="357">
        <v>28</v>
      </c>
      <c r="D107" s="357">
        <v>8</v>
      </c>
      <c r="E107" s="357">
        <v>-6</v>
      </c>
      <c r="F107" s="374">
        <v>-1.7424871230634001E-10</v>
      </c>
      <c r="G107" s="375"/>
      <c r="H107" s="376">
        <f t="shared" si="108"/>
        <v>1.0277851327602621E-5</v>
      </c>
      <c r="I107" s="376">
        <f t="shared" si="109"/>
        <v>2.4636157546215822E-6</v>
      </c>
      <c r="J107" s="377">
        <f t="shared" si="110"/>
        <v>2.7585683621760824E-6</v>
      </c>
      <c r="K107" s="377">
        <f t="shared" si="111"/>
        <v>1.9132599272658506E-6</v>
      </c>
      <c r="AJ107" s="45"/>
      <c r="AK107" s="360"/>
      <c r="AL107" s="360"/>
      <c r="AM107" s="360"/>
      <c r="AN107" s="41"/>
      <c r="AO107" s="41"/>
      <c r="AP107" s="53"/>
      <c r="AQ107" s="316"/>
      <c r="AR107" s="394"/>
      <c r="AS107" s="41"/>
      <c r="AT107" s="394"/>
      <c r="AU107" s="394"/>
      <c r="AV107" s="41"/>
      <c r="AW107" s="41"/>
      <c r="AX107" s="41"/>
      <c r="AY107" s="41"/>
      <c r="AZ107" s="41"/>
      <c r="BA107" s="41"/>
      <c r="BB107" s="41"/>
      <c r="BC107" s="41"/>
    </row>
    <row r="108" spans="3:55" ht="15" hidden="1" x14ac:dyDescent="0.35">
      <c r="C108" s="357">
        <v>29</v>
      </c>
      <c r="D108" s="357">
        <v>21</v>
      </c>
      <c r="E108" s="357">
        <v>-29</v>
      </c>
      <c r="F108" s="374">
        <v>-6.8762131295530996E-19</v>
      </c>
      <c r="G108" s="375"/>
      <c r="H108" s="376">
        <f t="shared" si="108"/>
        <v>1.2962171397648342E-10</v>
      </c>
      <c r="I108" s="376">
        <f t="shared" si="109"/>
        <v>1.2715360397456955E-13</v>
      </c>
      <c r="J108" s="377">
        <f t="shared" si="110"/>
        <v>2.2479567723293096E-13</v>
      </c>
      <c r="K108" s="377">
        <f t="shared" si="111"/>
        <v>3.7465671469072137E-14</v>
      </c>
      <c r="AJ108" s="48"/>
      <c r="AK108" s="360"/>
      <c r="AL108" s="360"/>
      <c r="AM108" s="360"/>
      <c r="AN108" s="41"/>
      <c r="AO108" s="41"/>
      <c r="AP108" s="41"/>
      <c r="AQ108" s="9"/>
      <c r="AR108" s="338"/>
      <c r="AS108" s="41"/>
      <c r="AT108" s="316"/>
      <c r="AU108" s="338"/>
      <c r="AV108" s="41"/>
      <c r="AW108" s="41"/>
      <c r="AX108" s="41"/>
      <c r="AY108" s="41"/>
      <c r="AZ108" s="41"/>
      <c r="BA108" s="41"/>
      <c r="BB108" s="41"/>
      <c r="BC108" s="41"/>
    </row>
    <row r="109" spans="3:55" ht="15" hidden="1" x14ac:dyDescent="0.3">
      <c r="C109" s="357">
        <v>30</v>
      </c>
      <c r="D109" s="357">
        <v>23</v>
      </c>
      <c r="E109" s="357">
        <v>-31</v>
      </c>
      <c r="F109" s="374">
        <v>1.4478307828521001E-20</v>
      </c>
      <c r="G109" s="375"/>
      <c r="H109" s="376">
        <f t="shared" si="108"/>
        <v>-3.0329515840525431E-11</v>
      </c>
      <c r="I109" s="376">
        <f t="shared" si="109"/>
        <v>-1.8471271592683196E-14</v>
      </c>
      <c r="J109" s="377">
        <f t="shared" si="110"/>
        <v>-3.3928876584308895E-14</v>
      </c>
      <c r="K109" s="377">
        <f t="shared" si="111"/>
        <v>-5.002671370764606E-15</v>
      </c>
      <c r="AJ109" s="49"/>
      <c r="AK109" s="41"/>
      <c r="AL109" s="41"/>
      <c r="AM109" s="41"/>
      <c r="AN109" s="41"/>
      <c r="AO109" s="41"/>
      <c r="AP109" s="41"/>
      <c r="AQ109" s="41"/>
      <c r="AR109" s="9"/>
      <c r="AS109" s="41"/>
      <c r="AT109" s="9"/>
      <c r="AU109" s="9"/>
      <c r="AV109" s="41"/>
      <c r="AW109" s="41"/>
      <c r="AX109" s="41"/>
      <c r="AY109" s="41"/>
      <c r="AZ109" s="41"/>
      <c r="BA109" s="41"/>
      <c r="BB109" s="41"/>
      <c r="BC109" s="41"/>
    </row>
    <row r="110" spans="3:55" ht="15" hidden="1" x14ac:dyDescent="0.3">
      <c r="C110" s="357">
        <v>31</v>
      </c>
      <c r="D110" s="357">
        <v>29</v>
      </c>
      <c r="E110" s="357">
        <v>-38</v>
      </c>
      <c r="F110" s="374">
        <v>2.6335781662795E-23</v>
      </c>
      <c r="G110" s="375"/>
      <c r="H110" s="376">
        <f t="shared" si="108"/>
        <v>-3.2789955523354883E-11</v>
      </c>
      <c r="I110" s="376">
        <f t="shared" si="109"/>
        <v>-3.7590154980877989E-15</v>
      </c>
      <c r="J110" s="377">
        <f t="shared" si="110"/>
        <v>-7.9072078181735872E-15</v>
      </c>
      <c r="K110" s="377">
        <f t="shared" si="111"/>
        <v>-7.5801965500651797E-16</v>
      </c>
      <c r="AJ110" s="46"/>
      <c r="AK110" s="334"/>
      <c r="AL110" s="334"/>
      <c r="AM110" s="334"/>
      <c r="AN110" s="41"/>
      <c r="AO110" s="41"/>
      <c r="AP110" s="41"/>
      <c r="AQ110" s="10"/>
      <c r="AR110" s="41"/>
      <c r="AS110" s="41"/>
      <c r="AT110" s="10"/>
      <c r="AU110" s="10"/>
      <c r="AV110" s="41"/>
      <c r="AW110" s="41"/>
      <c r="AX110" s="41"/>
      <c r="AY110" s="41"/>
      <c r="AZ110" s="41"/>
      <c r="BA110" s="41"/>
      <c r="BB110" s="41"/>
      <c r="BC110" s="41"/>
    </row>
    <row r="111" spans="3:55" ht="15" hidden="1" x14ac:dyDescent="0.3">
      <c r="C111" s="357">
        <v>32</v>
      </c>
      <c r="D111" s="357">
        <v>30</v>
      </c>
      <c r="E111" s="357">
        <v>-39</v>
      </c>
      <c r="F111" s="374">
        <v>-1.1947622640071E-23</v>
      </c>
      <c r="G111" s="375"/>
      <c r="H111" s="376">
        <f t="shared" si="108"/>
        <v>4.9017901908520752E-11</v>
      </c>
      <c r="I111" s="376">
        <f t="shared" si="109"/>
        <v>4.427700210861992E-15</v>
      </c>
      <c r="J111" s="377">
        <f t="shared" si="110"/>
        <v>9.4936659706619476E-15</v>
      </c>
      <c r="K111" s="377">
        <f t="shared" si="111"/>
        <v>8.5602160472844475E-16</v>
      </c>
      <c r="AJ111" s="46"/>
      <c r="AK111" s="334"/>
      <c r="AL111" s="334"/>
      <c r="AM111" s="334"/>
      <c r="AN111" s="41"/>
      <c r="AO111" s="41"/>
      <c r="AP111" s="41"/>
      <c r="AQ111" s="41"/>
      <c r="AR111" s="10"/>
      <c r="AS111" s="41"/>
      <c r="AT111" s="10"/>
      <c r="AU111" s="10"/>
      <c r="AV111" s="41"/>
      <c r="AW111" s="41"/>
      <c r="AX111" s="41"/>
      <c r="AY111" s="41"/>
      <c r="AZ111" s="41"/>
      <c r="BA111" s="41"/>
      <c r="BB111" s="41"/>
      <c r="BC111" s="41"/>
    </row>
    <row r="112" spans="3:55" ht="15" hidden="1" x14ac:dyDescent="0.3">
      <c r="C112" s="357">
        <v>33</v>
      </c>
      <c r="D112" s="357">
        <v>31</v>
      </c>
      <c r="E112" s="357">
        <v>-40</v>
      </c>
      <c r="F112" s="374">
        <v>1.8228094581404E-24</v>
      </c>
      <c r="G112" s="375"/>
      <c r="H112" s="376">
        <f t="shared" si="108"/>
        <v>-2.4615591922823399E-11</v>
      </c>
      <c r="I112" s="376">
        <f t="shared" si="109"/>
        <v>-1.7519591450029639E-15</v>
      </c>
      <c r="J112" s="377">
        <f t="shared" si="110"/>
        <v>-3.8290092518418289E-15</v>
      </c>
      <c r="K112" s="377">
        <f t="shared" si="111"/>
        <v>-3.247361661808047E-16</v>
      </c>
      <c r="AJ112" s="50"/>
      <c r="AK112" s="334"/>
      <c r="AL112" s="334"/>
      <c r="AM112" s="334"/>
      <c r="AN112" s="41"/>
      <c r="AO112" s="41"/>
      <c r="AP112" s="41"/>
      <c r="AQ112" s="10"/>
      <c r="AR112" s="41"/>
      <c r="AS112" s="41"/>
      <c r="AT112" s="10"/>
      <c r="AU112" s="10"/>
      <c r="AV112" s="41"/>
      <c r="AW112" s="41"/>
      <c r="AX112" s="41"/>
      <c r="AY112" s="41"/>
      <c r="AZ112" s="41"/>
      <c r="BA112" s="41"/>
      <c r="BB112" s="41"/>
      <c r="BC112" s="41"/>
    </row>
    <row r="113" spans="3:55" ht="15" hidden="1" x14ac:dyDescent="0.3">
      <c r="C113" s="357">
        <v>34</v>
      </c>
      <c r="D113" s="357">
        <v>32</v>
      </c>
      <c r="E113" s="357">
        <v>-41</v>
      </c>
      <c r="F113" s="374">
        <v>-9.3537087292457998E-26</v>
      </c>
      <c r="G113" s="375"/>
      <c r="H113" s="376">
        <f t="shared" si="108"/>
        <v>4.1533304542923782E-12</v>
      </c>
      <c r="I113" s="376">
        <f t="shared" si="109"/>
        <v>2.3291656597313538E-16</v>
      </c>
      <c r="J113" s="377">
        <f t="shared" si="110"/>
        <v>5.1888309525934344E-16</v>
      </c>
      <c r="K113" s="377">
        <f t="shared" si="111"/>
        <v>4.1391124972447258E-17</v>
      </c>
      <c r="AJ113" s="46"/>
      <c r="AK113" s="334"/>
      <c r="AL113" s="334"/>
      <c r="AM113" s="334"/>
      <c r="AN113" s="41"/>
      <c r="AO113" s="41"/>
      <c r="AP113" s="41"/>
      <c r="AQ113" s="10"/>
      <c r="AR113" s="10"/>
      <c r="AS113" s="41"/>
      <c r="AT113" s="10"/>
      <c r="AU113" s="10"/>
      <c r="AV113" s="41"/>
      <c r="AW113" s="41"/>
      <c r="AX113" s="41"/>
      <c r="AY113" s="41"/>
      <c r="AZ113" s="41"/>
      <c r="BA113" s="41"/>
      <c r="BB113" s="41"/>
      <c r="BC113" s="41"/>
    </row>
    <row r="114" spans="3:55" ht="15.45" hidden="1" x14ac:dyDescent="0.3">
      <c r="C114" s="375"/>
      <c r="D114" s="375"/>
      <c r="E114" s="378" t="s">
        <v>151</v>
      </c>
      <c r="F114" s="6">
        <v>0.46152599999999999</v>
      </c>
      <c r="G114" s="375"/>
      <c r="H114" s="379">
        <f>SUM(H88:H113)</f>
        <v>9.5011485983960225E-2</v>
      </c>
      <c r="I114" s="379">
        <f>SUM(I88:I113)</f>
        <v>0.10672737641380697</v>
      </c>
      <c r="J114" s="380">
        <f>SUM(J88:J113)</f>
        <v>0.10550038851417692</v>
      </c>
      <c r="K114" s="380">
        <f>SUM(K88:K113)</f>
        <v>0.10932397999981648</v>
      </c>
      <c r="AJ114" s="51"/>
      <c r="AK114" s="334"/>
      <c r="AL114" s="334"/>
      <c r="AM114" s="334"/>
      <c r="AN114" s="41"/>
      <c r="AO114" s="41"/>
      <c r="AP114" s="41"/>
      <c r="AQ114" s="10"/>
      <c r="AR114" s="10"/>
      <c r="AS114" s="41"/>
      <c r="AT114" s="10"/>
      <c r="AU114" s="10"/>
      <c r="AV114" s="41"/>
      <c r="AW114" s="41"/>
      <c r="AX114" s="41"/>
      <c r="AY114" s="41"/>
      <c r="AZ114" s="41"/>
      <c r="BA114" s="41"/>
      <c r="BB114" s="41"/>
      <c r="BC114" s="41"/>
    </row>
    <row r="115" spans="3:55" ht="15" hidden="1" x14ac:dyDescent="0.3">
      <c r="AJ115" s="46"/>
      <c r="AK115" s="334"/>
      <c r="AL115" s="334"/>
      <c r="AM115" s="334"/>
      <c r="AN115" s="41"/>
      <c r="AO115" s="41"/>
      <c r="AP115" s="41"/>
      <c r="AQ115" s="41"/>
      <c r="AR115" s="10"/>
      <c r="AS115" s="41"/>
      <c r="AT115" s="10"/>
      <c r="AU115" s="10"/>
      <c r="AV115" s="41"/>
      <c r="AW115" s="41"/>
      <c r="AX115" s="41"/>
      <c r="AY115" s="41"/>
      <c r="AZ115" s="41"/>
      <c r="BA115" s="41"/>
      <c r="BB115" s="41"/>
      <c r="BC115" s="41"/>
    </row>
    <row r="116" spans="3:55" hidden="1" x14ac:dyDescent="0.3">
      <c r="AJ116" s="258"/>
      <c r="AK116" s="334"/>
      <c r="AL116" s="334"/>
      <c r="AM116" s="334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</row>
    <row r="117" spans="3:55" hidden="1" x14ac:dyDescent="0.3">
      <c r="AJ117" s="258"/>
      <c r="AK117" s="334"/>
      <c r="AL117" s="334"/>
      <c r="AM117" s="334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</row>
    <row r="118" spans="3:55" hidden="1" x14ac:dyDescent="0.3">
      <c r="AJ118" s="360"/>
      <c r="AK118" s="334"/>
      <c r="AL118" s="334"/>
      <c r="AM118" s="334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3:55" hidden="1" x14ac:dyDescent="0.3">
      <c r="AJ119" s="360"/>
      <c r="AK119" s="334"/>
      <c r="AL119" s="334"/>
      <c r="AM119" s="334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3:55" hidden="1" x14ac:dyDescent="0.3">
      <c r="AJ120" s="41"/>
      <c r="AK120" s="334"/>
      <c r="AL120" s="334"/>
      <c r="AM120" s="334"/>
      <c r="AN120" s="41"/>
      <c r="AO120" s="41"/>
      <c r="AP120" s="41"/>
      <c r="AQ120" s="349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</row>
    <row r="121" spans="3:55" ht="15" hidden="1" x14ac:dyDescent="0.3">
      <c r="AJ121" s="334"/>
      <c r="AK121" s="334"/>
      <c r="AL121" s="334"/>
      <c r="AM121" s="334"/>
      <c r="AN121" s="41"/>
      <c r="AO121" s="41"/>
      <c r="AP121" s="41"/>
      <c r="AQ121" s="46"/>
      <c r="AR121" s="349"/>
      <c r="AS121" s="258"/>
      <c r="AT121" s="258"/>
      <c r="AU121" s="258"/>
      <c r="AV121" s="258"/>
      <c r="AW121" s="349"/>
      <c r="AX121" s="349"/>
      <c r="AY121" s="258"/>
      <c r="AZ121" s="258"/>
      <c r="BA121" s="258"/>
      <c r="BB121" s="258"/>
      <c r="BC121" s="349"/>
    </row>
    <row r="122" spans="3:55" ht="15" hidden="1" x14ac:dyDescent="0.3">
      <c r="AJ122" s="334"/>
      <c r="AK122" s="334"/>
      <c r="AL122" s="334"/>
      <c r="AM122" s="334"/>
      <c r="AN122" s="41"/>
      <c r="AO122" s="41"/>
      <c r="AP122" s="41"/>
      <c r="AQ122" s="45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</row>
    <row r="123" spans="3:55" ht="15" hidden="1" x14ac:dyDescent="0.3">
      <c r="AJ123" s="334"/>
      <c r="AK123" s="334"/>
      <c r="AL123" s="334"/>
      <c r="AM123" s="334"/>
      <c r="AN123" s="41"/>
      <c r="AO123" s="41"/>
      <c r="AP123" s="41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</row>
    <row r="124" spans="3:55" ht="15" hidden="1" x14ac:dyDescent="0.3">
      <c r="AJ124" s="334"/>
      <c r="AK124" s="41"/>
      <c r="AL124" s="41"/>
      <c r="AM124" s="41"/>
      <c r="AN124" s="41"/>
      <c r="AO124" s="41"/>
      <c r="AP124" s="41"/>
      <c r="AQ124" s="48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</row>
    <row r="125" spans="3:55" ht="15" hidden="1" x14ac:dyDescent="0.3">
      <c r="M125" s="404"/>
      <c r="N125" s="258"/>
      <c r="O125" s="334"/>
      <c r="P125" s="334"/>
      <c r="Q125" s="405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334"/>
      <c r="AC125" s="334"/>
      <c r="AD125" s="334"/>
      <c r="AE125" s="334"/>
      <c r="AF125" s="334"/>
      <c r="AG125" s="334"/>
      <c r="AH125" s="334"/>
      <c r="AI125" s="334"/>
      <c r="AJ125" s="334"/>
      <c r="AK125" s="41"/>
      <c r="AL125" s="41"/>
      <c r="AM125" s="41"/>
      <c r="AN125" s="41"/>
      <c r="AO125" s="41"/>
      <c r="AP125" s="41"/>
      <c r="AQ125" s="49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</row>
    <row r="126" spans="3:55" ht="15" hidden="1" x14ac:dyDescent="0.3">
      <c r="M126" s="404"/>
      <c r="N126" s="258"/>
      <c r="O126" s="334"/>
      <c r="P126" s="334"/>
      <c r="Q126" s="405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  <c r="AB126" s="334"/>
      <c r="AC126" s="334"/>
      <c r="AD126" s="334"/>
      <c r="AE126" s="334"/>
      <c r="AF126" s="334"/>
      <c r="AG126" s="334"/>
      <c r="AH126" s="334"/>
      <c r="AI126" s="334"/>
      <c r="AJ126" s="334"/>
      <c r="AK126" s="349"/>
      <c r="AL126" s="349"/>
      <c r="AM126" s="349"/>
      <c r="AN126" s="258"/>
      <c r="AO126" s="258"/>
      <c r="AP126" s="41"/>
      <c r="AQ126" s="46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</row>
    <row r="127" spans="3:55" ht="15" x14ac:dyDescent="0.3">
      <c r="M127" s="404"/>
      <c r="N127" s="258"/>
      <c r="O127" s="334"/>
      <c r="P127" s="334"/>
      <c r="Q127" s="405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  <c r="AB127" s="334"/>
      <c r="AC127" s="334"/>
      <c r="AD127" s="334"/>
      <c r="AE127" s="334"/>
      <c r="AF127" s="334"/>
      <c r="AG127" s="334"/>
      <c r="AH127" s="334"/>
      <c r="AI127" s="334"/>
      <c r="AJ127" s="334"/>
      <c r="AK127" s="46"/>
      <c r="AL127" s="46"/>
      <c r="AM127" s="46"/>
      <c r="AN127" s="46"/>
      <c r="AO127" s="46"/>
      <c r="AP127" s="41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</row>
    <row r="128" spans="3:55" ht="15" x14ac:dyDescent="0.3">
      <c r="M128" s="404"/>
      <c r="N128" s="258"/>
      <c r="O128" s="334"/>
      <c r="P128" s="334"/>
      <c r="Q128" s="405"/>
      <c r="R128" s="334"/>
      <c r="S128" s="334"/>
      <c r="T128" s="334"/>
      <c r="U128" s="334"/>
      <c r="V128" s="334"/>
      <c r="W128" s="334"/>
      <c r="X128" s="334"/>
      <c r="Y128" s="334"/>
      <c r="Z128" s="334"/>
      <c r="AA128" s="334"/>
      <c r="AB128" s="334"/>
      <c r="AC128" s="334"/>
      <c r="AD128" s="334"/>
      <c r="AE128" s="334"/>
      <c r="AF128" s="334"/>
      <c r="AG128" s="334"/>
      <c r="AH128" s="334"/>
      <c r="AI128" s="334"/>
      <c r="AJ128" s="334"/>
      <c r="AK128" s="45"/>
      <c r="AL128" s="45"/>
      <c r="AM128" s="45"/>
      <c r="AN128" s="45"/>
      <c r="AO128" s="45"/>
      <c r="AP128" s="41"/>
      <c r="AQ128" s="50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</row>
    <row r="129" spans="13:55" ht="15" x14ac:dyDescent="0.3">
      <c r="M129" s="404"/>
      <c r="N129" s="258"/>
      <c r="O129" s="334"/>
      <c r="P129" s="334"/>
      <c r="Q129" s="405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4"/>
      <c r="AC129" s="334"/>
      <c r="AD129" s="334"/>
      <c r="AE129" s="334"/>
      <c r="AF129" s="334"/>
      <c r="AG129" s="334"/>
      <c r="AH129" s="334"/>
      <c r="AI129" s="334"/>
      <c r="AJ129" s="334"/>
      <c r="AK129" s="45"/>
      <c r="AL129" s="45"/>
      <c r="AM129" s="45"/>
      <c r="AN129" s="45"/>
      <c r="AO129" s="45"/>
      <c r="AP129" s="349"/>
      <c r="AQ129" s="46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</row>
    <row r="130" spans="13:55" ht="15.45" x14ac:dyDescent="0.3">
      <c r="M130" s="404"/>
      <c r="N130" s="258"/>
      <c r="O130" s="334"/>
      <c r="P130" s="334"/>
      <c r="Q130" s="405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  <c r="AH130" s="334"/>
      <c r="AI130" s="334"/>
      <c r="AJ130" s="334"/>
      <c r="AK130" s="48"/>
      <c r="AL130" s="48"/>
      <c r="AM130" s="48"/>
      <c r="AN130" s="48"/>
      <c r="AO130" s="48"/>
      <c r="AP130" s="46"/>
      <c r="AQ130" s="51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</row>
    <row r="131" spans="13:55" ht="15.45" x14ac:dyDescent="0.3">
      <c r="M131" s="404"/>
      <c r="N131" s="258"/>
      <c r="O131" s="334"/>
      <c r="P131" s="334"/>
      <c r="Q131" s="405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334"/>
      <c r="AJ131" s="334"/>
      <c r="AK131" s="49"/>
      <c r="AL131" s="49"/>
      <c r="AM131" s="49"/>
      <c r="AN131" s="49"/>
      <c r="AO131" s="49"/>
      <c r="AP131" s="45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</row>
    <row r="132" spans="13:55" ht="15" x14ac:dyDescent="0.3">
      <c r="M132" s="404"/>
      <c r="N132" s="258"/>
      <c r="O132" s="334"/>
      <c r="P132" s="334"/>
      <c r="Q132" s="405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  <c r="AH132" s="334"/>
      <c r="AI132" s="334"/>
      <c r="AJ132" s="334"/>
      <c r="AK132" s="46"/>
      <c r="AL132" s="46"/>
      <c r="AM132" s="46"/>
      <c r="AN132" s="46"/>
      <c r="AO132" s="46"/>
      <c r="AP132" s="45"/>
    </row>
    <row r="133" spans="13:55" ht="15" x14ac:dyDescent="0.3">
      <c r="M133" s="404"/>
      <c r="N133" s="258"/>
      <c r="O133" s="334"/>
      <c r="P133" s="334"/>
      <c r="Q133" s="405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  <c r="AH133" s="334"/>
      <c r="AI133" s="334"/>
      <c r="AJ133" s="334"/>
      <c r="AK133" s="46"/>
      <c r="AL133" s="46"/>
      <c r="AM133" s="46"/>
      <c r="AN133" s="46"/>
      <c r="AO133" s="46"/>
      <c r="AP133" s="48"/>
    </row>
    <row r="134" spans="13:55" ht="15" x14ac:dyDescent="0.3">
      <c r="M134" s="350"/>
      <c r="N134" s="351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  <c r="AH134" s="334"/>
      <c r="AI134" s="334"/>
      <c r="AJ134" s="334"/>
      <c r="AK134" s="50"/>
      <c r="AL134" s="50"/>
      <c r="AM134" s="50"/>
      <c r="AN134" s="50"/>
      <c r="AO134" s="50"/>
      <c r="AP134" s="49"/>
    </row>
    <row r="135" spans="13:55" ht="15" x14ac:dyDescent="0.3">
      <c r="M135" s="259"/>
      <c r="N135" s="345"/>
      <c r="O135" s="258"/>
      <c r="P135" s="41"/>
      <c r="Q135" s="41"/>
      <c r="R135" s="41"/>
      <c r="S135" s="41"/>
      <c r="T135" s="41"/>
      <c r="U135" s="258"/>
      <c r="V135" s="41"/>
      <c r="W135" s="41"/>
      <c r="X135" s="41"/>
      <c r="Y135" s="41"/>
      <c r="Z135" s="41"/>
      <c r="AA135" s="258"/>
      <c r="AB135" s="41"/>
      <c r="AC135" s="41"/>
      <c r="AD135" s="41"/>
      <c r="AE135" s="41"/>
      <c r="AF135" s="41"/>
      <c r="AG135" s="258"/>
      <c r="AH135" s="41"/>
      <c r="AI135" s="41"/>
      <c r="AJ135" s="41"/>
      <c r="AK135" s="46"/>
      <c r="AL135" s="46"/>
      <c r="AM135" s="46"/>
      <c r="AN135" s="46"/>
      <c r="AO135" s="46"/>
      <c r="AP135" s="46"/>
    </row>
    <row r="136" spans="13:55" ht="15.45" x14ac:dyDescent="0.3">
      <c r="M136" s="259"/>
      <c r="N136" s="345"/>
      <c r="O136" s="258"/>
      <c r="P136" s="41"/>
      <c r="Q136" s="41"/>
      <c r="R136" s="41"/>
      <c r="S136" s="41"/>
      <c r="T136" s="41"/>
      <c r="U136" s="258"/>
      <c r="V136" s="41"/>
      <c r="W136" s="41"/>
      <c r="X136" s="41"/>
      <c r="Y136" s="41"/>
      <c r="Z136" s="41"/>
      <c r="AA136" s="258"/>
      <c r="AB136" s="41"/>
      <c r="AC136" s="41"/>
      <c r="AD136" s="41"/>
      <c r="AE136" s="41"/>
      <c r="AF136" s="41"/>
      <c r="AG136" s="258"/>
      <c r="AH136" s="41"/>
      <c r="AI136" s="41"/>
      <c r="AJ136" s="41"/>
      <c r="AK136" s="51"/>
      <c r="AL136" s="51"/>
      <c r="AM136" s="51"/>
      <c r="AN136" s="51"/>
      <c r="AO136" s="51"/>
      <c r="AP136" s="46"/>
    </row>
    <row r="137" spans="13:55" ht="15" x14ac:dyDescent="0.3">
      <c r="M137" s="41"/>
      <c r="N137" s="348"/>
      <c r="O137" s="258"/>
      <c r="P137" s="258"/>
      <c r="Q137" s="258"/>
      <c r="R137" s="258"/>
      <c r="S137" s="258"/>
      <c r="T137" s="258"/>
      <c r="U137" s="258"/>
      <c r="V137" s="258"/>
      <c r="W137" s="258"/>
      <c r="X137" s="258"/>
      <c r="Y137" s="349"/>
      <c r="Z137" s="349"/>
      <c r="AA137" s="349"/>
      <c r="AB137" s="349"/>
      <c r="AC137" s="349"/>
      <c r="AD137" s="349"/>
      <c r="AE137" s="349"/>
      <c r="AF137" s="349"/>
      <c r="AG137" s="349"/>
      <c r="AH137" s="349"/>
      <c r="AI137" s="349"/>
      <c r="AJ137" s="349"/>
      <c r="AK137" s="53"/>
      <c r="AL137" s="53"/>
      <c r="AM137" s="53"/>
      <c r="AN137" s="53"/>
      <c r="AO137" s="53"/>
      <c r="AP137" s="50"/>
    </row>
    <row r="138" spans="13:55" ht="15" x14ac:dyDescent="0.3">
      <c r="M138" s="350"/>
      <c r="N138" s="45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258"/>
      <c r="AL138" s="258"/>
      <c r="AM138" s="258"/>
      <c r="AN138" s="41"/>
      <c r="AO138" s="41"/>
      <c r="AP138" s="46"/>
    </row>
    <row r="139" spans="13:55" ht="15.45" x14ac:dyDescent="0.3">
      <c r="M139" s="351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258"/>
      <c r="AL139" s="258"/>
      <c r="AM139" s="258"/>
      <c r="AN139" s="41"/>
      <c r="AO139" s="41"/>
      <c r="AP139" s="51"/>
    </row>
    <row r="140" spans="13:55" ht="15" x14ac:dyDescent="0.3">
      <c r="M140" s="351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360"/>
      <c r="AL140" s="360"/>
      <c r="AM140" s="360"/>
      <c r="AN140" s="41"/>
      <c r="AO140" s="41"/>
    </row>
    <row r="141" spans="13:55" ht="15.45" x14ac:dyDescent="0.3">
      <c r="M141" s="351"/>
      <c r="N141" s="47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360"/>
      <c r="AL141" s="360"/>
      <c r="AM141" s="360"/>
      <c r="AN141" s="41"/>
      <c r="AO141" s="41"/>
    </row>
    <row r="142" spans="13:55" ht="15" x14ac:dyDescent="0.3">
      <c r="M142" s="350"/>
      <c r="N142" s="45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1"/>
      <c r="AL142" s="41"/>
      <c r="AM142" s="41"/>
      <c r="AN142" s="41"/>
      <c r="AO142" s="41"/>
    </row>
    <row r="143" spans="13:55" ht="15" x14ac:dyDescent="0.3">
      <c r="M143" s="258"/>
      <c r="N143" s="45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334"/>
      <c r="AL143" s="334"/>
      <c r="AM143" s="334"/>
      <c r="AN143" s="41"/>
      <c r="AO143" s="41"/>
    </row>
    <row r="144" spans="13:55" ht="15.45" x14ac:dyDescent="0.3">
      <c r="M144" s="353"/>
      <c r="N144" s="47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334"/>
      <c r="AL144" s="334"/>
      <c r="AM144" s="334"/>
      <c r="AN144" s="41"/>
      <c r="AO144" s="41"/>
    </row>
    <row r="145" spans="13:41" ht="15.45" x14ac:dyDescent="0.3">
      <c r="M145" s="41"/>
      <c r="N145" s="4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334"/>
      <c r="AL145" s="334"/>
      <c r="AM145" s="334"/>
      <c r="AN145" s="41"/>
      <c r="AO145" s="41"/>
    </row>
    <row r="146" spans="13:41" ht="15.45" x14ac:dyDescent="0.3">
      <c r="M146" s="41"/>
      <c r="N146" s="40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334"/>
      <c r="AL146" s="334"/>
      <c r="AM146" s="334"/>
      <c r="AN146" s="41"/>
      <c r="AO146" s="41"/>
    </row>
    <row r="147" spans="13:41" ht="15.45" x14ac:dyDescent="0.3">
      <c r="M147" s="41"/>
      <c r="N147" s="45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334"/>
      <c r="AL147" s="334"/>
      <c r="AM147" s="334"/>
      <c r="AN147" s="41"/>
      <c r="AO147" s="41"/>
    </row>
    <row r="148" spans="13:41" ht="15" x14ac:dyDescent="0.3">
      <c r="M148" s="41"/>
      <c r="N148" s="52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334"/>
      <c r="AL148" s="334"/>
      <c r="AM148" s="334"/>
      <c r="AN148" s="41"/>
      <c r="AO148" s="41"/>
    </row>
    <row r="149" spans="13:41" ht="15.45" x14ac:dyDescent="0.4">
      <c r="M149" s="356"/>
      <c r="N149" s="41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8"/>
      <c r="AD149" s="258"/>
      <c r="AE149" s="258"/>
      <c r="AF149" s="258"/>
      <c r="AG149" s="258"/>
      <c r="AH149" s="258"/>
      <c r="AI149" s="258"/>
      <c r="AJ149" s="258"/>
      <c r="AK149" s="334"/>
      <c r="AL149" s="334"/>
      <c r="AM149" s="334"/>
      <c r="AN149" s="41"/>
      <c r="AO149" s="41"/>
    </row>
    <row r="150" spans="13:41" x14ac:dyDescent="0.3">
      <c r="M150" s="41"/>
      <c r="N150" s="258"/>
      <c r="O150" s="258"/>
      <c r="P150" s="258"/>
      <c r="Q150" s="258"/>
      <c r="R150" s="258"/>
      <c r="S150" s="258"/>
      <c r="T150" s="258"/>
      <c r="U150" s="258"/>
      <c r="V150" s="258"/>
      <c r="W150" s="258"/>
      <c r="X150" s="258"/>
      <c r="Y150" s="258"/>
      <c r="Z150" s="258"/>
      <c r="AA150" s="258"/>
      <c r="AB150" s="258"/>
      <c r="AC150" s="258"/>
      <c r="AD150" s="258"/>
      <c r="AE150" s="258"/>
      <c r="AF150" s="258"/>
      <c r="AG150" s="258"/>
      <c r="AH150" s="258"/>
      <c r="AI150" s="258"/>
      <c r="AJ150" s="258"/>
      <c r="AK150" s="334"/>
      <c r="AL150" s="334"/>
      <c r="AM150" s="334"/>
      <c r="AN150" s="41"/>
      <c r="AO150" s="41"/>
    </row>
    <row r="151" spans="13:41" x14ac:dyDescent="0.3">
      <c r="M151" s="406"/>
      <c r="N151" s="258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34"/>
      <c r="AL151" s="334"/>
      <c r="AM151" s="334"/>
      <c r="AN151" s="41"/>
      <c r="AO151" s="41"/>
    </row>
    <row r="152" spans="13:41" x14ac:dyDescent="0.3">
      <c r="M152" s="406"/>
      <c r="N152" s="258"/>
      <c r="O152" s="360"/>
      <c r="P152" s="360"/>
      <c r="Q152" s="360"/>
      <c r="R152" s="360"/>
      <c r="S152" s="360"/>
      <c r="T152" s="360"/>
      <c r="U152" s="360"/>
      <c r="V152" s="360"/>
      <c r="W152" s="360"/>
      <c r="X152" s="360"/>
      <c r="Y152" s="360"/>
      <c r="Z152" s="360"/>
      <c r="AA152" s="360"/>
      <c r="AB152" s="360"/>
      <c r="AC152" s="360"/>
      <c r="AD152" s="360"/>
      <c r="AE152" s="360"/>
      <c r="AF152" s="360"/>
      <c r="AG152" s="360"/>
      <c r="AH152" s="360"/>
      <c r="AI152" s="360"/>
      <c r="AJ152" s="360"/>
      <c r="AK152" s="334"/>
      <c r="AL152" s="334"/>
      <c r="AM152" s="334"/>
      <c r="AN152" s="41"/>
      <c r="AO152" s="41"/>
    </row>
    <row r="153" spans="13:41" x14ac:dyDescent="0.3">
      <c r="M153" s="41"/>
      <c r="N153" s="407"/>
      <c r="O153" s="41"/>
      <c r="P153" s="363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34"/>
      <c r="AL153" s="334"/>
      <c r="AM153" s="334"/>
      <c r="AN153" s="41"/>
      <c r="AO153" s="41"/>
    </row>
    <row r="154" spans="13:41" x14ac:dyDescent="0.3">
      <c r="M154" s="408"/>
      <c r="N154" s="258"/>
      <c r="O154" s="334"/>
      <c r="P154" s="334"/>
      <c r="Q154" s="405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334"/>
      <c r="AI154" s="334"/>
      <c r="AJ154" s="334"/>
      <c r="AK154" s="334"/>
      <c r="AL154" s="334"/>
      <c r="AM154" s="334"/>
      <c r="AN154" s="41"/>
      <c r="AO154" s="41"/>
    </row>
    <row r="155" spans="13:41" x14ac:dyDescent="0.3">
      <c r="M155" s="408"/>
      <c r="N155" s="258"/>
      <c r="O155" s="334"/>
      <c r="P155" s="334"/>
      <c r="Q155" s="405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  <c r="AH155" s="334"/>
      <c r="AI155" s="334"/>
      <c r="AJ155" s="334"/>
      <c r="AK155" s="334"/>
      <c r="AL155" s="334"/>
      <c r="AM155" s="334"/>
      <c r="AN155" s="41"/>
      <c r="AO155" s="41"/>
    </row>
    <row r="156" spans="13:41" x14ac:dyDescent="0.3">
      <c r="M156" s="408"/>
      <c r="N156" s="258"/>
      <c r="O156" s="334"/>
      <c r="P156" s="334"/>
      <c r="Q156" s="405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  <c r="AH156" s="334"/>
      <c r="AI156" s="334"/>
      <c r="AJ156" s="334"/>
      <c r="AK156" s="334"/>
      <c r="AL156" s="334"/>
      <c r="AM156" s="334"/>
      <c r="AN156" s="41"/>
      <c r="AO156" s="41"/>
    </row>
    <row r="157" spans="13:41" x14ac:dyDescent="0.3">
      <c r="M157" s="408"/>
      <c r="N157" s="258"/>
      <c r="O157" s="334"/>
      <c r="P157" s="334"/>
      <c r="Q157" s="405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  <c r="AH157" s="334"/>
      <c r="AI157" s="334"/>
      <c r="AJ157" s="334"/>
      <c r="AK157" s="41"/>
      <c r="AL157" s="41"/>
      <c r="AM157" s="41"/>
      <c r="AN157" s="41"/>
      <c r="AO157" s="41"/>
    </row>
    <row r="158" spans="13:41" x14ac:dyDescent="0.3">
      <c r="M158" s="408"/>
      <c r="N158" s="258"/>
      <c r="O158" s="334"/>
      <c r="P158" s="334"/>
      <c r="Q158" s="405"/>
      <c r="R158" s="334"/>
      <c r="S158" s="334"/>
      <c r="T158" s="334"/>
      <c r="U158" s="334"/>
      <c r="V158" s="334"/>
      <c r="W158" s="334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  <c r="AH158" s="334"/>
      <c r="AI158" s="334"/>
      <c r="AJ158" s="334"/>
      <c r="AK158" s="41"/>
      <c r="AL158" s="41"/>
      <c r="AM158" s="41"/>
      <c r="AN158" s="41"/>
      <c r="AO158" s="41"/>
    </row>
    <row r="159" spans="13:41" x14ac:dyDescent="0.3">
      <c r="M159" s="408"/>
      <c r="N159" s="258"/>
      <c r="O159" s="334"/>
      <c r="P159" s="334"/>
      <c r="Q159" s="405"/>
      <c r="R159" s="334"/>
      <c r="S159" s="334"/>
      <c r="T159" s="334"/>
      <c r="U159" s="334"/>
      <c r="V159" s="334"/>
      <c r="W159" s="334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  <c r="AH159" s="334"/>
      <c r="AI159" s="334"/>
      <c r="AJ159" s="334"/>
      <c r="AK159" s="349"/>
      <c r="AL159" s="349"/>
      <c r="AM159" s="349"/>
      <c r="AN159" s="258"/>
      <c r="AO159" s="258"/>
    </row>
    <row r="160" spans="13:41" ht="15" x14ac:dyDescent="0.3">
      <c r="M160" s="408"/>
      <c r="N160" s="258"/>
      <c r="O160" s="334"/>
      <c r="P160" s="334"/>
      <c r="Q160" s="405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46"/>
      <c r="AL160" s="46"/>
      <c r="AM160" s="46"/>
      <c r="AN160" s="46"/>
      <c r="AO160" s="46"/>
    </row>
    <row r="161" spans="13:41" ht="15" x14ac:dyDescent="0.3">
      <c r="M161" s="408"/>
      <c r="N161" s="258"/>
      <c r="O161" s="334"/>
      <c r="P161" s="334"/>
      <c r="Q161" s="405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  <c r="AE161" s="334"/>
      <c r="AF161" s="334"/>
      <c r="AG161" s="334"/>
      <c r="AH161" s="334"/>
      <c r="AI161" s="334"/>
      <c r="AJ161" s="334"/>
      <c r="AK161" s="45"/>
      <c r="AL161" s="45"/>
      <c r="AM161" s="45"/>
      <c r="AN161" s="45"/>
      <c r="AO161" s="45"/>
    </row>
    <row r="162" spans="13:41" ht="15" x14ac:dyDescent="0.3">
      <c r="M162" s="408"/>
      <c r="N162" s="258"/>
      <c r="O162" s="334"/>
      <c r="P162" s="334"/>
      <c r="Q162" s="405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4"/>
      <c r="AD162" s="334"/>
      <c r="AE162" s="334"/>
      <c r="AF162" s="334"/>
      <c r="AG162" s="334"/>
      <c r="AH162" s="334"/>
      <c r="AI162" s="334"/>
      <c r="AJ162" s="334"/>
      <c r="AK162" s="45"/>
      <c r="AL162" s="45"/>
      <c r="AM162" s="45"/>
      <c r="AN162" s="45"/>
      <c r="AO162" s="45"/>
    </row>
    <row r="163" spans="13:41" ht="15" x14ac:dyDescent="0.3">
      <c r="M163" s="408"/>
      <c r="N163" s="258"/>
      <c r="O163" s="334"/>
      <c r="P163" s="334"/>
      <c r="Q163" s="405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334"/>
      <c r="AH163" s="334"/>
      <c r="AI163" s="334"/>
      <c r="AJ163" s="334"/>
      <c r="AK163" s="48"/>
      <c r="AL163" s="48"/>
      <c r="AM163" s="48"/>
      <c r="AN163" s="48"/>
      <c r="AO163" s="48"/>
    </row>
    <row r="164" spans="13:41" ht="15" x14ac:dyDescent="0.3">
      <c r="M164" s="408"/>
      <c r="N164" s="258"/>
      <c r="O164" s="334"/>
      <c r="P164" s="334"/>
      <c r="Q164" s="405"/>
      <c r="R164" s="334"/>
      <c r="S164" s="334"/>
      <c r="T164" s="334"/>
      <c r="U164" s="334"/>
      <c r="V164" s="334"/>
      <c r="W164" s="334"/>
      <c r="X164" s="334"/>
      <c r="Y164" s="334"/>
      <c r="Z164" s="334"/>
      <c r="AA164" s="334"/>
      <c r="AB164" s="334"/>
      <c r="AC164" s="334"/>
      <c r="AD164" s="334"/>
      <c r="AE164" s="334"/>
      <c r="AF164" s="334"/>
      <c r="AG164" s="334"/>
      <c r="AH164" s="334"/>
      <c r="AI164" s="334"/>
      <c r="AJ164" s="334"/>
      <c r="AK164" s="49"/>
      <c r="AL164" s="49"/>
      <c r="AM164" s="49"/>
      <c r="AN164" s="49"/>
      <c r="AO164" s="49"/>
    </row>
    <row r="165" spans="13:41" ht="15" x14ac:dyDescent="0.3">
      <c r="M165" s="408"/>
      <c r="N165" s="258"/>
      <c r="O165" s="334"/>
      <c r="P165" s="334"/>
      <c r="Q165" s="405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  <c r="AB165" s="334"/>
      <c r="AC165" s="334"/>
      <c r="AD165" s="334"/>
      <c r="AE165" s="334"/>
      <c r="AF165" s="334"/>
      <c r="AG165" s="334"/>
      <c r="AH165" s="334"/>
      <c r="AI165" s="334"/>
      <c r="AJ165" s="334"/>
      <c r="AK165" s="46"/>
      <c r="AL165" s="46"/>
      <c r="AM165" s="46"/>
      <c r="AN165" s="46"/>
      <c r="AO165" s="46"/>
    </row>
    <row r="166" spans="13:41" ht="15" x14ac:dyDescent="0.3">
      <c r="M166" s="408"/>
      <c r="N166" s="258"/>
      <c r="O166" s="334"/>
      <c r="P166" s="334"/>
      <c r="Q166" s="405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  <c r="AH166" s="334"/>
      <c r="AI166" s="334"/>
      <c r="AJ166" s="334"/>
      <c r="AK166" s="46"/>
      <c r="AL166" s="46"/>
      <c r="AM166" s="46"/>
      <c r="AN166" s="46"/>
      <c r="AO166" s="46"/>
    </row>
    <row r="167" spans="13:41" ht="15" x14ac:dyDescent="0.3">
      <c r="M167" s="350"/>
      <c r="N167" s="351"/>
      <c r="O167" s="334"/>
      <c r="P167" s="334"/>
      <c r="Q167" s="334"/>
      <c r="R167" s="334"/>
      <c r="S167" s="334"/>
      <c r="T167" s="334"/>
      <c r="U167" s="334"/>
      <c r="V167" s="334"/>
      <c r="W167" s="334"/>
      <c r="X167" s="334"/>
      <c r="Y167" s="334"/>
      <c r="Z167" s="334"/>
      <c r="AA167" s="334"/>
      <c r="AB167" s="334"/>
      <c r="AC167" s="334"/>
      <c r="AD167" s="334"/>
      <c r="AE167" s="334"/>
      <c r="AF167" s="334"/>
      <c r="AG167" s="334"/>
      <c r="AH167" s="334"/>
      <c r="AI167" s="334"/>
      <c r="AJ167" s="334"/>
      <c r="AK167" s="50"/>
      <c r="AL167" s="50"/>
      <c r="AM167" s="50"/>
      <c r="AN167" s="50"/>
      <c r="AO167" s="50"/>
    </row>
    <row r="168" spans="13:41" ht="15" x14ac:dyDescent="0.3">
      <c r="M168" s="259"/>
      <c r="N168" s="345"/>
      <c r="O168" s="258"/>
      <c r="P168" s="41"/>
      <c r="Q168" s="41"/>
      <c r="R168" s="41"/>
      <c r="S168" s="41"/>
      <c r="T168" s="41"/>
      <c r="U168" s="258"/>
      <c r="V168" s="41"/>
      <c r="W168" s="41"/>
      <c r="X168" s="41"/>
      <c r="Y168" s="41"/>
      <c r="Z168" s="41"/>
      <c r="AA168" s="258"/>
      <c r="AB168" s="41"/>
      <c r="AC168" s="41"/>
      <c r="AD168" s="41"/>
      <c r="AE168" s="41"/>
      <c r="AF168" s="41"/>
      <c r="AG168" s="258"/>
      <c r="AH168" s="41"/>
      <c r="AI168" s="41"/>
      <c r="AJ168" s="41"/>
      <c r="AK168" s="46"/>
      <c r="AL168" s="46"/>
      <c r="AM168" s="46"/>
      <c r="AN168" s="46"/>
      <c r="AO168" s="46"/>
    </row>
    <row r="169" spans="13:41" ht="15.45" x14ac:dyDescent="0.3">
      <c r="M169" s="346"/>
      <c r="N169" s="345"/>
      <c r="O169" s="258"/>
      <c r="P169" s="41"/>
      <c r="Q169" s="41"/>
      <c r="R169" s="41"/>
      <c r="S169" s="41"/>
      <c r="T169" s="41"/>
      <c r="U169" s="258"/>
      <c r="V169" s="41"/>
      <c r="W169" s="41"/>
      <c r="X169" s="41"/>
      <c r="Y169" s="41"/>
      <c r="Z169" s="41"/>
      <c r="AA169" s="258"/>
      <c r="AB169" s="41"/>
      <c r="AC169" s="41"/>
      <c r="AD169" s="41"/>
      <c r="AE169" s="41"/>
      <c r="AF169" s="41"/>
      <c r="AG169" s="258"/>
      <c r="AH169" s="41"/>
      <c r="AI169" s="41"/>
      <c r="AJ169" s="41"/>
      <c r="AK169" s="51"/>
      <c r="AL169" s="51"/>
      <c r="AM169" s="51"/>
      <c r="AN169" s="51"/>
      <c r="AO169" s="51"/>
    </row>
    <row r="170" spans="13:41" x14ac:dyDescent="0.3">
      <c r="M170" s="41"/>
      <c r="N170" s="34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349"/>
      <c r="AJ170" s="349"/>
    </row>
    <row r="171" spans="13:41" ht="15" x14ac:dyDescent="0.3">
      <c r="M171" s="350"/>
      <c r="N171" s="45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</row>
    <row r="172" spans="13:41" ht="15" x14ac:dyDescent="0.3">
      <c r="M172" s="351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</row>
    <row r="173" spans="13:41" ht="15" x14ac:dyDescent="0.3">
      <c r="M173" s="351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</row>
    <row r="174" spans="13:41" ht="15.45" x14ac:dyDescent="0.3">
      <c r="M174" s="351"/>
      <c r="N174" s="47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</row>
    <row r="175" spans="13:41" ht="15" x14ac:dyDescent="0.3">
      <c r="M175" s="350"/>
      <c r="N175" s="45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</row>
    <row r="176" spans="13:41" ht="15" x14ac:dyDescent="0.3">
      <c r="M176" s="258"/>
      <c r="N176" s="45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</row>
    <row r="177" spans="13:36" ht="15.45" x14ac:dyDescent="0.3">
      <c r="M177" s="353"/>
      <c r="N177" s="47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</row>
    <row r="178" spans="13:36" ht="15.45" x14ac:dyDescent="0.3">
      <c r="M178" s="41"/>
      <c r="N178" s="4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</row>
    <row r="179" spans="13:36" ht="15.45" x14ac:dyDescent="0.3">
      <c r="M179" s="41"/>
      <c r="N179" s="40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3:36" ht="15.45" x14ac:dyDescent="0.3">
      <c r="M180" s="41"/>
      <c r="N180" s="45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</row>
  </sheetData>
  <sheetProtection algorithmName="SHA-512" hashValue="tUKH1Bjt+Ku/YVicKx1uuREVWxryqbF18zz/X6a66ZItHp+p3fDh1XSHzxQ9i/mL+n2H3+RFXvDZg+wsV/QdLw==" saltValue="sRbszdtZ0/hfCxv6eE7HHA==" spinCount="100000" sheet="1" objects="1" scenarios="1"/>
  <customSheetViews>
    <customSheetView guid="{AAE00E0F-58A4-431B-A945-2FAABDFF301E}" scale="70" showGridLines="0" hiddenRows="1" hiddenColumns="1" topLeftCell="A2">
      <selection activeCell="F23" sqref="F23"/>
      <pageMargins left="0.75" right="0.75" top="1" bottom="1" header="0.5" footer="0.5"/>
      <pageSetup paperSize="9" scale="66" orientation="portrait" r:id="rId1"/>
      <headerFooter alignWithMargins="0"/>
    </customSheetView>
  </customSheetViews>
  <mergeCells count="44">
    <mergeCell ref="AG1:AH1"/>
    <mergeCell ref="Z2:AA2"/>
    <mergeCell ref="AG2:AI2"/>
    <mergeCell ref="B2:E2"/>
    <mergeCell ref="B27:D27"/>
    <mergeCell ref="C4:E4"/>
    <mergeCell ref="C5:E5"/>
    <mergeCell ref="C6:E6"/>
    <mergeCell ref="G30:H30"/>
    <mergeCell ref="D29:E29"/>
    <mergeCell ref="G29:H29"/>
    <mergeCell ref="G28:H28"/>
    <mergeCell ref="F25:H25"/>
    <mergeCell ref="B25:E25"/>
    <mergeCell ref="B41:D41"/>
    <mergeCell ref="E41:G41"/>
    <mergeCell ref="E35:G35"/>
    <mergeCell ref="E27:G27"/>
    <mergeCell ref="B37:C37"/>
    <mergeCell ref="B38:C38"/>
    <mergeCell ref="B39:C39"/>
    <mergeCell ref="D28:E28"/>
    <mergeCell ref="B29:C29"/>
    <mergeCell ref="B36:C36"/>
    <mergeCell ref="B35:D35"/>
    <mergeCell ref="B33:C33"/>
    <mergeCell ref="B31:C31"/>
    <mergeCell ref="B32:C32"/>
    <mergeCell ref="B30:C30"/>
    <mergeCell ref="D30:E30"/>
    <mergeCell ref="AK2:AM2"/>
    <mergeCell ref="AQ2:AR2"/>
    <mergeCell ref="Z15:AA15"/>
    <mergeCell ref="AG15:AI15"/>
    <mergeCell ref="AK15:AM15"/>
    <mergeCell ref="AQ15:AR15"/>
    <mergeCell ref="AK28:AM28"/>
    <mergeCell ref="AQ28:AR28"/>
    <mergeCell ref="Z41:AA41"/>
    <mergeCell ref="AG41:AI41"/>
    <mergeCell ref="AK41:AM41"/>
    <mergeCell ref="AQ41:AR41"/>
    <mergeCell ref="Z28:AA28"/>
    <mergeCell ref="AG28:AI28"/>
  </mergeCells>
  <phoneticPr fontId="2" type="noConversion"/>
  <conditionalFormatting sqref="H50">
    <cfRule type="cellIs" dxfId="37" priority="16" stopIfTrue="1" operator="greaterThan">
      <formula>3</formula>
    </cfRule>
  </conditionalFormatting>
  <conditionalFormatting sqref="G50">
    <cfRule type="cellIs" dxfId="36" priority="14" stopIfTrue="1" operator="greaterThan">
      <formula>3</formula>
    </cfRule>
  </conditionalFormatting>
  <conditionalFormatting sqref="D50:E50">
    <cfRule type="cellIs" dxfId="35" priority="15" stopIfTrue="1" operator="greaterThan">
      <formula>3</formula>
    </cfRule>
  </conditionalFormatting>
  <conditionalFormatting sqref="AK4:AM13">
    <cfRule type="cellIs" dxfId="34" priority="12" stopIfTrue="1" operator="equal">
      <formula>TRUE</formula>
    </cfRule>
  </conditionalFormatting>
  <conditionalFormatting sqref="AK17:AM26">
    <cfRule type="cellIs" dxfId="33" priority="11" stopIfTrue="1" operator="equal">
      <formula>TRUE</formula>
    </cfRule>
  </conditionalFormatting>
  <conditionalFormatting sqref="AK30:AM39">
    <cfRule type="cellIs" dxfId="32" priority="9" stopIfTrue="1" operator="equal">
      <formula>TRUE</formula>
    </cfRule>
  </conditionalFormatting>
  <conditionalFormatting sqref="AK43:AM52 AO43:AP52">
    <cfRule type="cellIs" dxfId="31" priority="7" stopIfTrue="1" operator="equal">
      <formula>TRUE</formula>
    </cfRule>
  </conditionalFormatting>
  <conditionalFormatting sqref="AO4:AP13">
    <cfRule type="cellIs" dxfId="30" priority="3" stopIfTrue="1" operator="equal">
      <formula>TRUE</formula>
    </cfRule>
  </conditionalFormatting>
  <conditionalFormatting sqref="AO17:AP26">
    <cfRule type="cellIs" dxfId="29" priority="2" stopIfTrue="1" operator="equal">
      <formula>TRUE</formula>
    </cfRule>
  </conditionalFormatting>
  <conditionalFormatting sqref="AO30:AP39">
    <cfRule type="cellIs" dxfId="28" priority="1" stopIfTrue="1" operator="equal">
      <formula>TRUE</formula>
    </cfRule>
  </conditionalFormatting>
  <dataValidations count="4">
    <dataValidation type="list" allowBlank="1" showInputMessage="1" showErrorMessage="1" sqref="G32:H32 D32:E32" xr:uid="{00000000-0002-0000-0400-000000000000}">
      <formula1>DU_tr</formula1>
    </dataValidation>
    <dataValidation type="list" allowBlank="1" showInputMessage="1" showErrorMessage="1" sqref="D30" xr:uid="{00000000-0002-0000-0400-000001000000}">
      <formula1>Grafik</formula1>
    </dataValidation>
    <dataValidation type="list" allowBlank="1" showInputMessage="1" showErrorMessage="1" sqref="G30:H30" xr:uid="{00000000-0002-0000-0400-000002000000}">
      <formula1>GrafikGVS</formula1>
    </dataValidation>
    <dataValidation type="list" allowBlank="1" showInputMessage="1" showErrorMessage="1" sqref="F25" xr:uid="{E0AE7382-440D-4617-A447-62DF3420A1CF}">
      <formula1>Метод_подбора</formula1>
    </dataValidation>
  </dataValidations>
  <pageMargins left="0.25" right="0.25" top="0.75" bottom="0.75" header="0.3" footer="0.3"/>
  <pageSetup paperSize="9" scale="55" fitToHeight="0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3399"/>
    <pageSetUpPr fitToPage="1"/>
  </sheetPr>
  <dimension ref="A1:BG130"/>
  <sheetViews>
    <sheetView showGridLines="0" showRowColHeaders="0" zoomScale="85" zoomScaleNormal="85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5.69140625" style="6" customWidth="1"/>
    <col min="7" max="8" width="18.69140625" style="6" customWidth="1"/>
    <col min="9" max="10" width="10.69140625" style="6" customWidth="1"/>
    <col min="11" max="11" width="10.69140625" style="6" hidden="1" customWidth="1"/>
    <col min="12" max="12" width="18.69140625" style="6" hidden="1" customWidth="1"/>
    <col min="13" max="18" width="12.69140625" style="6" hidden="1" customWidth="1"/>
    <col min="19" max="19" width="14.30468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5.3046875" style="6" hidden="1" customWidth="1"/>
    <col min="45" max="45" width="13.69140625" style="6" hidden="1" customWidth="1"/>
    <col min="46" max="46" width="21.69140625" style="6" hidden="1" customWidth="1"/>
    <col min="47" max="49" width="13.3828125" style="6" hidden="1" customWidth="1"/>
    <col min="50" max="54" width="13.3828125" style="6" customWidth="1"/>
    <col min="55" max="16384" width="9.15234375" style="6"/>
  </cols>
  <sheetData>
    <row r="1" spans="2:55" ht="18" customHeight="1" thickBot="1" x14ac:dyDescent="0.35"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259"/>
      <c r="AU1" s="41"/>
      <c r="AV1" s="41"/>
      <c r="AW1" s="41"/>
      <c r="AX1" s="41"/>
      <c r="AY1" s="41"/>
      <c r="AZ1" s="41"/>
      <c r="BA1" s="41"/>
      <c r="BB1" s="41"/>
      <c r="BC1" s="41"/>
    </row>
    <row r="2" spans="2:55" ht="18" customHeight="1" thickBot="1" x14ac:dyDescent="0.55000000000000004">
      <c r="B2" s="827" t="s">
        <v>393</v>
      </c>
      <c r="C2" s="827"/>
      <c r="D2" s="827"/>
      <c r="E2" s="827"/>
      <c r="F2" s="260"/>
      <c r="G2" s="261"/>
      <c r="N2" s="262"/>
      <c r="O2" s="263" t="s">
        <v>406</v>
      </c>
      <c r="P2" s="264">
        <f>MATCH(M6,DyTr_New,0)</f>
        <v>29</v>
      </c>
      <c r="Q2" s="265">
        <f ca="1">MATCH(TRUE,AO4:AO13,0)</f>
        <v>2</v>
      </c>
      <c r="R2" s="266" t="s">
        <v>103</v>
      </c>
      <c r="S2" s="267"/>
      <c r="U2" s="268">
        <f ca="1">MATCH(TRUE,AO4:AO13,0)</f>
        <v>2</v>
      </c>
      <c r="V2" s="269" t="s">
        <v>407</v>
      </c>
      <c r="W2" s="270"/>
      <c r="X2" s="270"/>
      <c r="Y2" s="270"/>
      <c r="Z2" s="813" t="s">
        <v>206</v>
      </c>
      <c r="AA2" s="813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>
        <f ca="1">MATCH(TRUE,AO4:AO13,0)</f>
        <v>2</v>
      </c>
      <c r="AP2" s="273">
        <f ca="1">MATCH(TRUE,AP4:AP13,0)</f>
        <v>2</v>
      </c>
      <c r="AQ2" s="802" t="s">
        <v>69</v>
      </c>
      <c r="AR2" s="803"/>
      <c r="AS2" s="259"/>
      <c r="AT2" s="259"/>
      <c r="AU2" s="41"/>
      <c r="AV2" s="41"/>
      <c r="AW2" s="41"/>
      <c r="AX2" s="41"/>
      <c r="AY2" s="41"/>
      <c r="AZ2" s="41"/>
      <c r="BA2" s="41"/>
      <c r="BB2" s="41"/>
      <c r="BC2" s="41"/>
    </row>
    <row r="3" spans="2:55" ht="18" customHeight="1" x14ac:dyDescent="0.3">
      <c r="B3" s="274"/>
      <c r="C3" s="274"/>
      <c r="D3" s="275"/>
      <c r="E3" s="274"/>
      <c r="F3" s="276"/>
      <c r="G3" s="276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IF(ISERROR(AO2),IF(ISERROR(AP2),"НЕТ",OFFSET(Q4,AP2-1,0,1)&amp;"-"&amp;OFFSET(AN4,AP2-1,0,1)&amp;"-Фланец"),OFFSET(Q4,AO2-1,0,1)&amp;"-"&amp;OFFSET(AN4,AO2-1,0,1)&amp;"-Cэндвич")</f>
        <v>ПРЭМ-40-D-Cэндвич</v>
      </c>
      <c r="AT3" s="284" t="str">
        <f ca="1">IF(ISERROR(AO2),IF(ISERROR(AP2),"НЕТ",OFFSET(Q4,AP2-1,0,1)&amp;"-"&amp;OFFSET(AN4,AP2-1,0,1)),OFFSET(Q4,AO2-1,0,1)&amp;"-"&amp;OFFSET(AN4,AO2-1,0,1))</f>
        <v>ПРЭМ-40-D</v>
      </c>
      <c r="AU3" s="41"/>
      <c r="AV3" s="41"/>
      <c r="AW3" s="41"/>
      <c r="AX3" s="41"/>
      <c r="AY3" s="41"/>
      <c r="AZ3" s="41"/>
      <c r="BA3" s="41"/>
      <c r="BB3" s="41"/>
      <c r="BC3" s="41"/>
    </row>
    <row r="4" spans="2:55" ht="18" customHeight="1" x14ac:dyDescent="0.3">
      <c r="B4" s="285" t="s">
        <v>117</v>
      </c>
      <c r="C4" s="788"/>
      <c r="D4" s="789"/>
      <c r="E4" s="790"/>
      <c r="F4" s="286"/>
      <c r="G4" s="286"/>
      <c r="L4" s="287" t="s">
        <v>74</v>
      </c>
      <c r="M4" s="288">
        <v>0.5</v>
      </c>
      <c r="N4" s="88">
        <f ca="1">OFFSET(DyTr_New,P2-1,1,1)</f>
        <v>5</v>
      </c>
      <c r="O4" s="88">
        <v>1</v>
      </c>
      <c r="P4" s="93" t="str">
        <f ca="1">IF(O4&lt;=$N$4,OFFSET(DyTr_New,$P$2-2+O4,4,1),"---")</f>
        <v>32-80</v>
      </c>
      <c r="Q4" s="93" t="str">
        <f t="shared" ref="Q4:Q13" ca="1" si="0">IF(O4&lt;=$N$4,OFFSET(DyTr_New,$P$2-2+O4,2,1),"---")</f>
        <v>ПРЭМ-32</v>
      </c>
      <c r="R4" s="93">
        <f t="shared" ref="R4:R13" ca="1" si="1">IF(O4&lt;=$N$4,OFFSET(DyTr_New,$P$2-2+O4,5,1),"---")</f>
        <v>32</v>
      </c>
      <c r="S4" s="93" t="str">
        <f t="shared" ref="S4:S13" ca="1" si="2">IF(O4&lt;=$N$4,OFFSET(DyTr_New,$P$2-2+O4,6,1),"---")</f>
        <v>24,62</v>
      </c>
      <c r="T4" s="93">
        <f t="shared" ref="T4:T13" ca="1" si="3">IF(O4&lt;=$N$4,($M$7/3.6)/((PI()*R4^2)/4000),"---")</f>
        <v>3.0780850793478618</v>
      </c>
      <c r="U4" s="289">
        <f t="shared" ref="U4:U13" ca="1" si="4">IF(O4&lt;=$N$4,(T4*R4/$M$9/1000),"---")</f>
        <v>504440.73303060088</v>
      </c>
      <c r="V4" s="289">
        <f t="shared" ref="V4:V13" ca="1" si="5">IF(O4&lt;=$N$4,(1/(1.14+2*LOG((R4/$M$4),10))^2),"---")</f>
        <v>4.4277322004702871E-2</v>
      </c>
      <c r="W4" s="93">
        <f t="shared" ref="W4:W13" ca="1" si="6">IF(O4&lt;=$N$4,(IF(S4=0,0,(V4/(8*SIN(RADIANS(S4/2))))*(1-(R4/$M$6)^4))),"---")</f>
        <v>2.5295285226432103E-2</v>
      </c>
      <c r="X4" s="93">
        <f t="shared" ref="X4:X13" ca="1" si="7">IF(O4&lt;=$N$4,(3.2*TAN(RADIANS(S4/2))^1.25*(1-(R4/$M$6)^2)^2),"---")</f>
        <v>0.33676116779011345</v>
      </c>
      <c r="Y4" s="93">
        <f t="shared" ref="Y4:Y13" ca="1" si="8">IF(O4&lt;=$N$4,(IF(S4=0,0,V4/(8*SIN(RADIANS(S4/2)))*(1-(R4/$M$6)^4))),"---")</f>
        <v>2.5295285226432103E-2</v>
      </c>
      <c r="Z4" s="290">
        <f t="shared" ref="Z4:Z13" ca="1" si="9">IF(O4&lt;=$N$4,VLOOKUP(Q4&amp;"-Сэндвич",TypePFlow,3,FALSE),"---")</f>
        <v>0</v>
      </c>
      <c r="AA4" s="290">
        <f t="shared" ref="AA4:AA13" ca="1" si="10">IF(O4&lt;=$N$4,VLOOKUP(Q4&amp;"-Фланец",TypePFlow,3,FALSE),"---")</f>
        <v>0</v>
      </c>
      <c r="AB4" s="93">
        <f t="shared" ref="AB4:AB13" ca="1" si="11">IF(O4&lt;=$N$4,(V4*4+W4+X4+Y4)*T4^2/(2*9.81),"--")</f>
        <v>0.27258138721776487</v>
      </c>
      <c r="AC4" s="291">
        <f t="shared" ref="AC4:AC13" ca="1" si="12">IF(O4&lt;=$N$4,(Z4*$M$7^2),"--")</f>
        <v>0</v>
      </c>
      <c r="AD4" s="93">
        <f t="shared" ref="AD4:AD13" ca="1" si="13">IF(O4&lt;=$N$4,(AA4*$M$7^2),"--")</f>
        <v>0</v>
      </c>
      <c r="AE4" s="93">
        <f t="shared" ref="AE4:AE13" ca="1" si="14">IF(O4&lt;=$N$4,(AB4+AC4),"---")</f>
        <v>0.27258138721776487</v>
      </c>
      <c r="AF4" s="93">
        <f t="shared" ref="AF4:AF13" ca="1" si="15">IF(O4&lt;=$N$4,(AB4+AD4),"---")</f>
        <v>0.27258138721776487</v>
      </c>
      <c r="AG4" s="292">
        <f t="shared" ref="AG4:AG13" ca="1" si="16">IF(O4&lt;=$N$4,VLOOKUP(Q4&amp;"-D",ParamPiterflow,2,FALSE),"---")</f>
        <v>0.2</v>
      </c>
      <c r="AH4" s="292">
        <f t="shared" ref="AH4:AH13" ca="1" si="17">IF(O4&lt;=$N$4,VLOOKUP(Q4&amp;"-C1",ParamPiterflow,2,FALSE),"---")</f>
        <v>0.12</v>
      </c>
      <c r="AI4" s="292">
        <f t="shared" ref="AI4:AI13" ca="1" si="18">IF(O4&lt;=$N$4,VLOOKUP(Q4&amp;"-B1",ParamPiterflow,2,FALSE),"---")</f>
        <v>6.7000000000000004E-2</v>
      </c>
      <c r="AJ4" s="292">
        <f t="shared" ref="AJ4:AJ13" ca="1" si="19">IF(O4&lt;=$N$4,VLOOKUP(Q4&amp;"-D",ParamPiterflow,4,FALSE),"---")</f>
        <v>30</v>
      </c>
      <c r="AK4" s="293" t="b">
        <f t="shared" ref="AK4:AK13" ca="1" si="20">IF($O4&lt;=$N$4,AND(AG4&lt;$M$8,$AJ4&gt;$M$7),"---")</f>
        <v>1</v>
      </c>
      <c r="AL4" s="293" t="b">
        <f t="shared" ref="AL4:AL13" ca="1" si="21">IF($O4&lt;=$N$4,AND(AH4&lt;$M$8,$AJ4&gt;$M$7),"---")</f>
        <v>1</v>
      </c>
      <c r="AM4" s="293" t="b">
        <f t="shared" ref="AM4:AM13" ca="1" si="22">IF($O4&lt;=$N$4,AND(AI4&lt;$M$8,$AJ4&gt;$M$7),"---")</f>
        <v>1</v>
      </c>
      <c r="AN4" s="294" t="str">
        <f ca="1">IF($O4&lt;=$N$4,IF(AK4,"D",IF(AL4,"C1",IF(AM4,"B1","НЕТ"))),"---")</f>
        <v>D</v>
      </c>
      <c r="AO4" s="294" t="b">
        <f ca="1">IF($O4&lt;=$N$4,AND(AE4&lt;$M$5,NOT(AN4="НЕТ"),IF($F$26="Экономный",T4&lt;=3,IF(AND($F$26="Оптимальный",T4&gt;$D$51),T4&lt;=1.8,IF(AND($F$26="Затратный",T4&gt;$D$51),T4&lt;=1,T4&lt;=3)))),"---")</f>
        <v>0</v>
      </c>
      <c r="AP4" s="294" t="b">
        <f ca="1">IF($O4&lt;=$N$4,AND(AF4&lt;$M$5,NOT(AN4="НЕТ"),IF($F$26="Экономный",T4&lt;=3,IF(AND($F$26="Оптимальный",T4&gt;$D$51),T4&lt;=1.8,IF(AND($F$26="Затратный",T4&gt;$D$51),T4&lt;=1,T4&lt;=3)))),"---")</f>
        <v>0</v>
      </c>
      <c r="AQ4" s="295"/>
      <c r="AR4" s="296"/>
      <c r="AS4" s="259"/>
      <c r="AT4" s="259">
        <f ca="1">IF(ISERROR(AO2),IF(ISERROR(AP2),"НЕТ",AP2),AO2)</f>
        <v>2</v>
      </c>
      <c r="AU4" s="41"/>
      <c r="AV4" s="41"/>
      <c r="AW4" s="41"/>
      <c r="AX4" s="41"/>
      <c r="AY4" s="41"/>
      <c r="AZ4" s="41"/>
      <c r="BA4" s="41"/>
      <c r="BB4" s="41"/>
      <c r="BC4" s="41"/>
    </row>
    <row r="5" spans="2:55" ht="18" customHeight="1" x14ac:dyDescent="0.3">
      <c r="B5" s="8"/>
      <c r="C5" s="791"/>
      <c r="D5" s="792"/>
      <c r="E5" s="793"/>
      <c r="F5" s="276"/>
      <c r="G5" s="276"/>
      <c r="L5" s="297" t="s">
        <v>189</v>
      </c>
      <c r="M5" s="298">
        <f>D32</f>
        <v>0.5</v>
      </c>
      <c r="N5" s="88"/>
      <c r="O5" s="88">
        <v>2</v>
      </c>
      <c r="P5" s="93" t="str">
        <f t="shared" ref="P5:P10" ca="1" si="23">IF(O5&lt;=$N$4,OFFSET(DyTr_New,$P$2-2+O5,4,1),"---")</f>
        <v>40-80</v>
      </c>
      <c r="Q5" s="93" t="str">
        <f t="shared" ca="1" si="0"/>
        <v>ПРЭМ-40</v>
      </c>
      <c r="R5" s="93">
        <f t="shared" ca="1" si="1"/>
        <v>40</v>
      </c>
      <c r="S5" s="93" t="str">
        <f t="shared" ca="1" si="2"/>
        <v>34,2</v>
      </c>
      <c r="T5" s="93">
        <f t="shared" ca="1" si="3"/>
        <v>1.9699744507826318</v>
      </c>
      <c r="U5" s="289">
        <f t="shared" ca="1" si="4"/>
        <v>403552.58642448077</v>
      </c>
      <c r="V5" s="289">
        <f t="shared" ca="1" si="5"/>
        <v>4.0875226338606262E-2</v>
      </c>
      <c r="W5" s="93">
        <f t="shared" ca="1" si="6"/>
        <v>1.6290505673910789E-2</v>
      </c>
      <c r="X5" s="93">
        <f t="shared" ca="1" si="7"/>
        <v>0.41240726556644086</v>
      </c>
      <c r="Y5" s="93">
        <f t="shared" ca="1" si="8"/>
        <v>1.6290505673910789E-2</v>
      </c>
      <c r="Z5" s="290">
        <f t="shared" ca="1" si="9"/>
        <v>0</v>
      </c>
      <c r="AA5" s="290">
        <f t="shared" ca="1" si="10"/>
        <v>0</v>
      </c>
      <c r="AB5" s="93">
        <f t="shared" ca="1" si="11"/>
        <v>0.1203580231885604</v>
      </c>
      <c r="AC5" s="291">
        <f t="shared" ca="1" si="12"/>
        <v>0</v>
      </c>
      <c r="AD5" s="93">
        <f t="shared" ca="1" si="13"/>
        <v>0</v>
      </c>
      <c r="AE5" s="93">
        <f t="shared" ca="1" si="14"/>
        <v>0.1203580231885604</v>
      </c>
      <c r="AF5" s="93">
        <f t="shared" ca="1" si="15"/>
        <v>0.1203580231885604</v>
      </c>
      <c r="AG5" s="292">
        <f t="shared" ca="1" si="16"/>
        <v>0.3</v>
      </c>
      <c r="AH5" s="292">
        <f t="shared" ca="1" si="17"/>
        <v>0.18</v>
      </c>
      <c r="AI5" s="292">
        <f t="shared" ca="1" si="18"/>
        <v>0.1</v>
      </c>
      <c r="AJ5" s="292">
        <f t="shared" ca="1" si="19"/>
        <v>45</v>
      </c>
      <c r="AK5" s="293" t="b">
        <f t="shared" ca="1" si="20"/>
        <v>1</v>
      </c>
      <c r="AL5" s="293" t="b">
        <f t="shared" ca="1" si="21"/>
        <v>1</v>
      </c>
      <c r="AM5" s="293" t="b">
        <f t="shared" ca="1" si="22"/>
        <v>1</v>
      </c>
      <c r="AN5" s="294" t="str">
        <f t="shared" ref="AN5:AN13" ca="1" si="24">IF($O5&lt;=$N$4,IF(AK5,"D",IF(AL5,"C1",IF(AM5,"B1","НЕТ"))),"---")</f>
        <v>D</v>
      </c>
      <c r="AO5" s="294" t="b">
        <f t="shared" ref="AO5:AO13" ca="1" si="25">IF($O5&lt;=$N$4,AND(AE5&lt;$M$5,NOT(AN5="НЕТ"),IF($F$26="Экономный",T5&lt;=3,IF(AND($F$26="Оптимальный",T5&gt;$D$51),T5&lt;=1.8,IF(AND($F$26="Затратный",T5&gt;$D$51),T5&lt;=1,T5&lt;=3)))),"---")</f>
        <v>1</v>
      </c>
      <c r="AP5" s="294" t="b">
        <f t="shared" ref="AP5:AP13" ca="1" si="26">IF($O5&lt;=$N$4,AND(AF5&lt;$M$5,NOT(AN5="НЕТ"),IF($F$26="Экономный",T5&lt;=3,IF(AND($F$26="Оптимальный",T5&gt;$D$51),T5&lt;=1.8,IF(AND($F$26="Затратный",T5&gt;$D$51),T5&lt;=1,T5&lt;=3)))),"---")</f>
        <v>1</v>
      </c>
      <c r="AQ5" s="299" t="s">
        <v>18</v>
      </c>
      <c r="AR5" s="300">
        <f ca="1">OFFSET(T4,IF(ISERROR(AO2),IF(ISERROR(AP2),"НЕТ",AP2),AO2)-1,0,1)</f>
        <v>1.9699744507826318</v>
      </c>
      <c r="AS5" s="259"/>
      <c r="AT5" s="259"/>
      <c r="AU5" s="41"/>
      <c r="AV5" s="41"/>
      <c r="AW5" s="41"/>
      <c r="AX5" s="41"/>
      <c r="AY5" s="41"/>
      <c r="AZ5" s="41"/>
      <c r="BA5" s="41"/>
      <c r="BB5" s="41"/>
      <c r="BC5" s="41"/>
    </row>
    <row r="6" spans="2:55" ht="18" customHeight="1" x14ac:dyDescent="0.4">
      <c r="B6" s="274"/>
      <c r="C6" s="794"/>
      <c r="D6" s="795"/>
      <c r="E6" s="796"/>
      <c r="F6" s="301"/>
      <c r="G6" s="301"/>
      <c r="L6" s="302" t="s">
        <v>410</v>
      </c>
      <c r="M6" s="303">
        <f>$D$33</f>
        <v>80</v>
      </c>
      <c r="N6" s="88"/>
      <c r="O6" s="88">
        <v>3</v>
      </c>
      <c r="P6" s="93" t="str">
        <f t="shared" ca="1" si="23"/>
        <v>50-80</v>
      </c>
      <c r="Q6" s="93" t="str">
        <f t="shared" ca="1" si="0"/>
        <v>ПРЭМ-50</v>
      </c>
      <c r="R6" s="93">
        <f t="shared" ca="1" si="1"/>
        <v>50</v>
      </c>
      <c r="S6" s="93" t="str">
        <f t="shared" ca="1" si="2"/>
        <v>25,98</v>
      </c>
      <c r="T6" s="93">
        <f t="shared" ca="1" si="3"/>
        <v>1.2607836485008843</v>
      </c>
      <c r="U6" s="289">
        <f t="shared" ca="1" si="4"/>
        <v>322842.06913958461</v>
      </c>
      <c r="V6" s="289">
        <f t="shared" ca="1" si="5"/>
        <v>3.7850686611455138E-2</v>
      </c>
      <c r="W6" s="93">
        <f t="shared" ca="1" si="6"/>
        <v>1.7836878689553519E-2</v>
      </c>
      <c r="X6" s="93">
        <f t="shared" ca="1" si="7"/>
        <v>0.18997302592343249</v>
      </c>
      <c r="Y6" s="93">
        <f t="shared" ca="1" si="8"/>
        <v>1.7836878689553519E-2</v>
      </c>
      <c r="Z6" s="290">
        <f t="shared" ca="1" si="9"/>
        <v>0</v>
      </c>
      <c r="AA6" s="290">
        <f t="shared" ca="1" si="10"/>
        <v>0</v>
      </c>
      <c r="AB6" s="93">
        <f t="shared" ca="1" si="11"/>
        <v>3.0547842008630414E-2</v>
      </c>
      <c r="AC6" s="291">
        <f t="shared" ca="1" si="12"/>
        <v>0</v>
      </c>
      <c r="AD6" s="93">
        <f t="shared" ca="1" si="13"/>
        <v>0</v>
      </c>
      <c r="AE6" s="93">
        <f t="shared" ca="1" si="14"/>
        <v>3.0547842008630414E-2</v>
      </c>
      <c r="AF6" s="93">
        <f t="shared" ca="1" si="15"/>
        <v>3.0547842008630414E-2</v>
      </c>
      <c r="AG6" s="292">
        <f t="shared" ca="1" si="16"/>
        <v>0.48</v>
      </c>
      <c r="AH6" s="292">
        <f t="shared" ca="1" si="17"/>
        <v>0.28799999999999998</v>
      </c>
      <c r="AI6" s="292">
        <f t="shared" ca="1" si="18"/>
        <v>0.16</v>
      </c>
      <c r="AJ6" s="292">
        <f t="shared" ca="1" si="19"/>
        <v>72</v>
      </c>
      <c r="AK6" s="293" t="b">
        <f t="shared" ca="1" si="20"/>
        <v>1</v>
      </c>
      <c r="AL6" s="293" t="b">
        <f t="shared" ca="1" si="21"/>
        <v>1</v>
      </c>
      <c r="AM6" s="293" t="b">
        <f t="shared" ca="1" si="22"/>
        <v>1</v>
      </c>
      <c r="AN6" s="294" t="str">
        <f t="shared" ca="1" si="24"/>
        <v>D</v>
      </c>
      <c r="AO6" s="294" t="b">
        <f t="shared" ca="1" si="25"/>
        <v>1</v>
      </c>
      <c r="AP6" s="294" t="b">
        <f t="shared" ca="1" si="26"/>
        <v>1</v>
      </c>
      <c r="AQ6" s="65" t="s">
        <v>22</v>
      </c>
      <c r="AR6" s="300">
        <f ca="1">IF(ISERROR(AO2),IF(ISERROR(AP2),"НЕТ",OFFSET(AF4,AP2-1,0,1)),OFFSET(AE4,AO2-1,0,1))</f>
        <v>0.1203580231885604</v>
      </c>
      <c r="AS6" s="304"/>
      <c r="AT6" s="91">
        <f ca="1">IF(ISERROR(AO2),IF(ISERROR(AP2),"НЕТ",OFFSET(AF4,AP2-1,0,1)),OFFSET(AE4,AO2-1,0,1))</f>
        <v>0.1203580231885604</v>
      </c>
      <c r="AU6" s="383"/>
      <c r="AV6" s="41"/>
      <c r="AW6" s="41"/>
      <c r="AX6" s="41"/>
      <c r="AY6" s="41"/>
      <c r="AZ6" s="41"/>
      <c r="BA6" s="41"/>
      <c r="BB6" s="41"/>
      <c r="BC6" s="41"/>
    </row>
    <row r="7" spans="2:55" ht="18" customHeight="1" x14ac:dyDescent="0.4">
      <c r="L7" s="305" t="s">
        <v>71</v>
      </c>
      <c r="M7" s="306">
        <f>D48</f>
        <v>8.9119544577671572</v>
      </c>
      <c r="N7" s="88"/>
      <c r="O7" s="88">
        <v>4</v>
      </c>
      <c r="P7" s="93" t="str">
        <f t="shared" ca="1" si="23"/>
        <v>65-80</v>
      </c>
      <c r="Q7" s="93" t="str">
        <f t="shared" ca="1" si="0"/>
        <v>ПРЭМ-65</v>
      </c>
      <c r="R7" s="93">
        <f t="shared" ca="1" si="1"/>
        <v>65</v>
      </c>
      <c r="S7" s="93" t="str">
        <f t="shared" ca="1" si="2"/>
        <v>13,16</v>
      </c>
      <c r="T7" s="93">
        <f t="shared" ca="1" si="3"/>
        <v>0.7460258275153161</v>
      </c>
      <c r="U7" s="289">
        <f t="shared" ca="1" si="4"/>
        <v>248340.05318429586</v>
      </c>
      <c r="V7" s="289">
        <f t="shared" ca="1" si="5"/>
        <v>3.4705101432211762E-2</v>
      </c>
      <c r="W7" s="93">
        <f t="shared" ca="1" si="6"/>
        <v>2.1359121285165365E-2</v>
      </c>
      <c r="X7" s="93">
        <f t="shared" ca="1" si="7"/>
        <v>2.4844576664893425E-2</v>
      </c>
      <c r="Y7" s="93">
        <f t="shared" ca="1" si="8"/>
        <v>2.1359121285165365E-2</v>
      </c>
      <c r="Z7" s="290" t="e">
        <f t="shared" ca="1" si="9"/>
        <v>#N/A</v>
      </c>
      <c r="AA7" s="290">
        <f t="shared" ca="1" si="10"/>
        <v>0</v>
      </c>
      <c r="AB7" s="93">
        <f t="shared" ca="1" si="11"/>
        <v>5.8544097791897835E-3</v>
      </c>
      <c r="AC7" s="291" t="e">
        <f t="shared" ca="1" si="12"/>
        <v>#N/A</v>
      </c>
      <c r="AD7" s="93">
        <f t="shared" ca="1" si="13"/>
        <v>0</v>
      </c>
      <c r="AE7" s="93" t="e">
        <f t="shared" ca="1" si="14"/>
        <v>#N/A</v>
      </c>
      <c r="AF7" s="93">
        <f t="shared" ca="1" si="15"/>
        <v>5.8544097791897835E-3</v>
      </c>
      <c r="AG7" s="292">
        <f t="shared" ca="1" si="16"/>
        <v>0.8</v>
      </c>
      <c r="AH7" s="292">
        <f t="shared" ca="1" si="17"/>
        <v>0.48</v>
      </c>
      <c r="AI7" s="292">
        <f t="shared" ca="1" si="18"/>
        <v>0.26700000000000002</v>
      </c>
      <c r="AJ7" s="292">
        <f t="shared" ca="1" si="19"/>
        <v>120</v>
      </c>
      <c r="AK7" s="293" t="b">
        <f t="shared" ca="1" si="20"/>
        <v>1</v>
      </c>
      <c r="AL7" s="293" t="b">
        <f t="shared" ca="1" si="21"/>
        <v>1</v>
      </c>
      <c r="AM7" s="293" t="b">
        <f t="shared" ca="1" si="22"/>
        <v>1</v>
      </c>
      <c r="AN7" s="294" t="str">
        <f t="shared" ca="1" si="24"/>
        <v>D</v>
      </c>
      <c r="AO7" s="294" t="e">
        <f t="shared" ca="1" si="25"/>
        <v>#N/A</v>
      </c>
      <c r="AP7" s="294" t="b">
        <f t="shared" ca="1" si="26"/>
        <v>1</v>
      </c>
      <c r="AQ7" s="307"/>
      <c r="AR7" s="308"/>
      <c r="AS7" s="309"/>
      <c r="AT7" s="310"/>
      <c r="AU7" s="393"/>
      <c r="AV7" s="41"/>
      <c r="AW7" s="41"/>
      <c r="AX7" s="41"/>
      <c r="AY7" s="41"/>
      <c r="AZ7" s="41"/>
      <c r="BA7" s="41"/>
      <c r="BB7" s="41"/>
      <c r="BC7" s="41"/>
    </row>
    <row r="8" spans="2:55" ht="18" customHeight="1" x14ac:dyDescent="0.3">
      <c r="L8" s="305" t="s">
        <v>72</v>
      </c>
      <c r="M8" s="306">
        <f>D49</f>
        <v>4.4559772288835786</v>
      </c>
      <c r="N8" s="88"/>
      <c r="O8" s="88">
        <v>5</v>
      </c>
      <c r="P8" s="93" t="str">
        <f t="shared" ca="1" si="23"/>
        <v>80-80</v>
      </c>
      <c r="Q8" s="93" t="str">
        <f t="shared" ca="1" si="0"/>
        <v>ПРЭМ-80</v>
      </c>
      <c r="R8" s="93">
        <f t="shared" ca="1" si="1"/>
        <v>80</v>
      </c>
      <c r="S8" s="93">
        <f t="shared" ca="1" si="2"/>
        <v>0</v>
      </c>
      <c r="T8" s="93">
        <f t="shared" ca="1" si="3"/>
        <v>0.49249361269565795</v>
      </c>
      <c r="U8" s="289">
        <f t="shared" ca="1" si="4"/>
        <v>201776.29321224039</v>
      </c>
      <c r="V8" s="289">
        <f t="shared" ca="1" si="5"/>
        <v>3.248549788373601E-2</v>
      </c>
      <c r="W8" s="93">
        <f t="shared" ca="1" si="6"/>
        <v>0</v>
      </c>
      <c r="X8" s="93">
        <f t="shared" ca="1" si="7"/>
        <v>0</v>
      </c>
      <c r="Y8" s="93">
        <f t="shared" ca="1" si="8"/>
        <v>0</v>
      </c>
      <c r="Z8" s="290" t="e">
        <f t="shared" ca="1" si="9"/>
        <v>#N/A</v>
      </c>
      <c r="AA8" s="290">
        <f t="shared" ca="1" si="10"/>
        <v>0</v>
      </c>
      <c r="AB8" s="93">
        <f t="shared" ca="1" si="11"/>
        <v>1.6063926941991872E-3</v>
      </c>
      <c r="AC8" s="291" t="e">
        <f t="shared" ca="1" si="12"/>
        <v>#N/A</v>
      </c>
      <c r="AD8" s="93">
        <f t="shared" ca="1" si="13"/>
        <v>0</v>
      </c>
      <c r="AE8" s="93" t="e">
        <f t="shared" ca="1" si="14"/>
        <v>#N/A</v>
      </c>
      <c r="AF8" s="93">
        <f t="shared" ca="1" si="15"/>
        <v>1.6063926941991872E-3</v>
      </c>
      <c r="AG8" s="292">
        <f t="shared" ca="1" si="16"/>
        <v>1.2</v>
      </c>
      <c r="AH8" s="292">
        <f t="shared" ca="1" si="17"/>
        <v>0.72</v>
      </c>
      <c r="AI8" s="292">
        <f t="shared" ca="1" si="18"/>
        <v>0.4</v>
      </c>
      <c r="AJ8" s="292">
        <f t="shared" ca="1" si="19"/>
        <v>180</v>
      </c>
      <c r="AK8" s="293" t="b">
        <f t="shared" ca="1" si="20"/>
        <v>1</v>
      </c>
      <c r="AL8" s="293" t="b">
        <f t="shared" ca="1" si="21"/>
        <v>1</v>
      </c>
      <c r="AM8" s="293" t="b">
        <f t="shared" ca="1" si="22"/>
        <v>1</v>
      </c>
      <c r="AN8" s="294" t="str">
        <f t="shared" ca="1" si="24"/>
        <v>D</v>
      </c>
      <c r="AO8" s="294" t="e">
        <f t="shared" ca="1" si="25"/>
        <v>#N/A</v>
      </c>
      <c r="AP8" s="294" t="b">
        <f t="shared" ca="1" si="26"/>
        <v>1</v>
      </c>
      <c r="AQ8" s="311"/>
      <c r="AR8" s="312"/>
      <c r="AS8" s="313"/>
      <c r="AT8" s="314"/>
      <c r="AU8" s="394"/>
      <c r="AV8" s="41"/>
      <c r="AW8" s="41"/>
      <c r="AX8" s="41"/>
      <c r="AY8" s="41"/>
      <c r="AZ8" s="41"/>
      <c r="BA8" s="41"/>
      <c r="BB8" s="41"/>
      <c r="BC8" s="41"/>
    </row>
    <row r="9" spans="2:55" ht="18" customHeight="1" x14ac:dyDescent="0.35">
      <c r="L9" s="305" t="s">
        <v>73</v>
      </c>
      <c r="M9" s="315">
        <f>D61</f>
        <v>1.9526322140435939E-7</v>
      </c>
      <c r="N9" s="88"/>
      <c r="O9" s="88">
        <v>6</v>
      </c>
      <c r="P9" s="93" t="str">
        <f t="shared" ca="1" si="23"/>
        <v>---</v>
      </c>
      <c r="Q9" s="93" t="str">
        <f t="shared" ca="1" si="0"/>
        <v>---</v>
      </c>
      <c r="R9" s="93" t="str">
        <f t="shared" ca="1" si="1"/>
        <v>---</v>
      </c>
      <c r="S9" s="93" t="str">
        <f t="shared" ca="1" si="2"/>
        <v>---</v>
      </c>
      <c r="T9" s="93" t="str">
        <f t="shared" ca="1" si="3"/>
        <v>---</v>
      </c>
      <c r="U9" s="289" t="str">
        <f t="shared" ca="1" si="4"/>
        <v>---</v>
      </c>
      <c r="V9" s="289" t="str">
        <f t="shared" ca="1" si="5"/>
        <v>---</v>
      </c>
      <c r="W9" s="93" t="str">
        <f t="shared" ca="1" si="6"/>
        <v>---</v>
      </c>
      <c r="X9" s="93" t="str">
        <f t="shared" ca="1" si="7"/>
        <v>---</v>
      </c>
      <c r="Y9" s="93" t="str">
        <f t="shared" ca="1" si="8"/>
        <v>---</v>
      </c>
      <c r="Z9" s="290" t="str">
        <f t="shared" ca="1" si="9"/>
        <v>---</v>
      </c>
      <c r="AA9" s="290" t="str">
        <f t="shared" ca="1" si="10"/>
        <v>---</v>
      </c>
      <c r="AB9" s="93" t="str">
        <f t="shared" ca="1" si="11"/>
        <v>--</v>
      </c>
      <c r="AC9" s="291" t="str">
        <f t="shared" ca="1" si="12"/>
        <v>--</v>
      </c>
      <c r="AD9" s="93" t="str">
        <f t="shared" ca="1" si="13"/>
        <v>--</v>
      </c>
      <c r="AE9" s="93" t="str">
        <f t="shared" ca="1" si="14"/>
        <v>---</v>
      </c>
      <c r="AF9" s="93" t="str">
        <f t="shared" ca="1" si="15"/>
        <v>---</v>
      </c>
      <c r="AG9" s="292" t="str">
        <f t="shared" ca="1" si="16"/>
        <v>---</v>
      </c>
      <c r="AH9" s="292" t="str">
        <f t="shared" ca="1" si="17"/>
        <v>---</v>
      </c>
      <c r="AI9" s="292" t="str">
        <f t="shared" ca="1" si="18"/>
        <v>---</v>
      </c>
      <c r="AJ9" s="292" t="str">
        <f t="shared" ca="1" si="19"/>
        <v>---</v>
      </c>
      <c r="AK9" s="293" t="str">
        <f t="shared" ca="1" si="20"/>
        <v>---</v>
      </c>
      <c r="AL9" s="293" t="str">
        <f t="shared" ca="1" si="21"/>
        <v>---</v>
      </c>
      <c r="AM9" s="293" t="str">
        <f t="shared" ca="1" si="22"/>
        <v>---</v>
      </c>
      <c r="AN9" s="294" t="str">
        <f t="shared" ca="1" si="24"/>
        <v>---</v>
      </c>
      <c r="AO9" s="294" t="str">
        <f t="shared" ca="1" si="25"/>
        <v>---</v>
      </c>
      <c r="AP9" s="294" t="str">
        <f t="shared" ca="1" si="26"/>
        <v>---</v>
      </c>
      <c r="AQ9" s="91"/>
      <c r="AS9" s="316"/>
      <c r="AT9" s="317"/>
      <c r="AU9" s="338"/>
      <c r="AV9" s="41"/>
      <c r="AW9" s="41"/>
      <c r="AX9" s="41"/>
      <c r="AY9" s="41"/>
      <c r="AZ9" s="41"/>
      <c r="BA9" s="41"/>
      <c r="BB9" s="41"/>
      <c r="BC9" s="41"/>
    </row>
    <row r="10" spans="2:55" ht="18" customHeight="1" thickBot="1" x14ac:dyDescent="0.35">
      <c r="L10" s="318" t="s">
        <v>102</v>
      </c>
      <c r="M10" s="319">
        <f>(M7/3.6)/((PI()*M6^2)/4000)</f>
        <v>0.49249361269565795</v>
      </c>
      <c r="O10" s="88">
        <v>7</v>
      </c>
      <c r="P10" s="93" t="str">
        <f t="shared" ca="1" si="23"/>
        <v>---</v>
      </c>
      <c r="Q10" s="93" t="str">
        <f t="shared" ca="1" si="0"/>
        <v>---</v>
      </c>
      <c r="R10" s="93" t="str">
        <f t="shared" ca="1" si="1"/>
        <v>---</v>
      </c>
      <c r="S10" s="93" t="str">
        <f t="shared" ca="1" si="2"/>
        <v>---</v>
      </c>
      <c r="T10" s="93" t="str">
        <f t="shared" ca="1" si="3"/>
        <v>---</v>
      </c>
      <c r="U10" s="289" t="str">
        <f t="shared" ca="1" si="4"/>
        <v>---</v>
      </c>
      <c r="V10" s="289" t="str">
        <f t="shared" ca="1" si="5"/>
        <v>---</v>
      </c>
      <c r="W10" s="93" t="str">
        <f t="shared" ca="1" si="6"/>
        <v>---</v>
      </c>
      <c r="X10" s="93" t="str">
        <f t="shared" ca="1" si="7"/>
        <v>---</v>
      </c>
      <c r="Y10" s="93" t="str">
        <f t="shared" ca="1" si="8"/>
        <v>---</v>
      </c>
      <c r="Z10" s="290" t="str">
        <f t="shared" ca="1" si="9"/>
        <v>---</v>
      </c>
      <c r="AA10" s="290" t="str">
        <f t="shared" ca="1" si="10"/>
        <v>---</v>
      </c>
      <c r="AB10" s="93" t="str">
        <f t="shared" ca="1" si="11"/>
        <v>--</v>
      </c>
      <c r="AC10" s="291" t="str">
        <f t="shared" ca="1" si="12"/>
        <v>--</v>
      </c>
      <c r="AD10" s="93" t="str">
        <f t="shared" ca="1" si="13"/>
        <v>--</v>
      </c>
      <c r="AE10" s="93" t="str">
        <f t="shared" ca="1" si="14"/>
        <v>---</v>
      </c>
      <c r="AF10" s="93" t="str">
        <f t="shared" ca="1" si="15"/>
        <v>---</v>
      </c>
      <c r="AG10" s="292" t="str">
        <f t="shared" ca="1" si="16"/>
        <v>---</v>
      </c>
      <c r="AH10" s="292" t="str">
        <f t="shared" ca="1" si="17"/>
        <v>---</v>
      </c>
      <c r="AI10" s="292" t="str">
        <f t="shared" ca="1" si="18"/>
        <v>---</v>
      </c>
      <c r="AJ10" s="292" t="str">
        <f t="shared" ca="1" si="19"/>
        <v>---</v>
      </c>
      <c r="AK10" s="293" t="str">
        <f t="shared" ca="1" si="20"/>
        <v>---</v>
      </c>
      <c r="AL10" s="293" t="str">
        <f t="shared" ca="1" si="21"/>
        <v>---</v>
      </c>
      <c r="AM10" s="293" t="str">
        <f t="shared" ca="1" si="22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  <c r="AU10" s="9"/>
      <c r="AV10" s="41"/>
      <c r="AW10" s="41"/>
      <c r="AX10" s="41"/>
      <c r="AY10" s="41"/>
      <c r="AZ10" s="41"/>
      <c r="BA10" s="41"/>
      <c r="BB10" s="41"/>
      <c r="BC10" s="41"/>
    </row>
    <row r="11" spans="2:55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0"/>
        <v>---</v>
      </c>
      <c r="R11" s="93" t="str">
        <f t="shared" ca="1" si="1"/>
        <v>---</v>
      </c>
      <c r="S11" s="93" t="str">
        <f t="shared" ca="1" si="2"/>
        <v>---</v>
      </c>
      <c r="T11" s="93" t="str">
        <f t="shared" ca="1" si="3"/>
        <v>---</v>
      </c>
      <c r="U11" s="289" t="str">
        <f t="shared" ca="1" si="4"/>
        <v>---</v>
      </c>
      <c r="V11" s="289" t="str">
        <f t="shared" ca="1" si="5"/>
        <v>---</v>
      </c>
      <c r="W11" s="93" t="str">
        <f t="shared" ca="1" si="6"/>
        <v>---</v>
      </c>
      <c r="X11" s="93" t="str">
        <f t="shared" ca="1" si="7"/>
        <v>---</v>
      </c>
      <c r="Y11" s="93" t="str">
        <f t="shared" ca="1" si="8"/>
        <v>---</v>
      </c>
      <c r="Z11" s="290" t="str">
        <f t="shared" ca="1" si="9"/>
        <v>---</v>
      </c>
      <c r="AA11" s="290" t="str">
        <f t="shared" ca="1" si="10"/>
        <v>---</v>
      </c>
      <c r="AB11" s="93" t="str">
        <f t="shared" ca="1" si="11"/>
        <v>--</v>
      </c>
      <c r="AC11" s="291" t="str">
        <f t="shared" ca="1" si="12"/>
        <v>--</v>
      </c>
      <c r="AD11" s="93" t="str">
        <f t="shared" ca="1" si="13"/>
        <v>--</v>
      </c>
      <c r="AE11" s="93" t="str">
        <f t="shared" ca="1" si="14"/>
        <v>---</v>
      </c>
      <c r="AF11" s="93" t="str">
        <f t="shared" ca="1" si="15"/>
        <v>---</v>
      </c>
      <c r="AG11" s="292" t="str">
        <f t="shared" ca="1" si="16"/>
        <v>---</v>
      </c>
      <c r="AH11" s="292" t="str">
        <f t="shared" ca="1" si="17"/>
        <v>---</v>
      </c>
      <c r="AI11" s="292" t="str">
        <f t="shared" ca="1" si="18"/>
        <v>---</v>
      </c>
      <c r="AJ11" s="292" t="str">
        <f t="shared" ca="1" si="19"/>
        <v>---</v>
      </c>
      <c r="AK11" s="293" t="str">
        <f t="shared" ca="1" si="20"/>
        <v>---</v>
      </c>
      <c r="AL11" s="293" t="str">
        <f t="shared" ca="1" si="21"/>
        <v>---</v>
      </c>
      <c r="AM11" s="293" t="str">
        <f t="shared" ca="1" si="22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T11" s="91"/>
      <c r="AU11" s="10"/>
      <c r="AV11" s="41"/>
      <c r="AW11" s="41"/>
      <c r="AX11" s="41"/>
      <c r="AY11" s="41"/>
      <c r="AZ11" s="41"/>
      <c r="BA11" s="41"/>
      <c r="BB11" s="41"/>
      <c r="BC11" s="41"/>
    </row>
    <row r="12" spans="2:55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0"/>
        <v>---</v>
      </c>
      <c r="R12" s="93" t="str">
        <f t="shared" ca="1" si="1"/>
        <v>---</v>
      </c>
      <c r="S12" s="93" t="str">
        <f t="shared" ca="1" si="2"/>
        <v>---</v>
      </c>
      <c r="T12" s="93" t="str">
        <f t="shared" ca="1" si="3"/>
        <v>---</v>
      </c>
      <c r="U12" s="289" t="str">
        <f t="shared" ca="1" si="4"/>
        <v>---</v>
      </c>
      <c r="V12" s="289" t="str">
        <f t="shared" ca="1" si="5"/>
        <v>---</v>
      </c>
      <c r="W12" s="93" t="str">
        <f t="shared" ca="1" si="6"/>
        <v>---</v>
      </c>
      <c r="X12" s="93" t="str">
        <f t="shared" ca="1" si="7"/>
        <v>---</v>
      </c>
      <c r="Y12" s="93" t="str">
        <f t="shared" ca="1" si="8"/>
        <v>---</v>
      </c>
      <c r="Z12" s="290" t="str">
        <f t="shared" ca="1" si="9"/>
        <v>---</v>
      </c>
      <c r="AA12" s="290" t="str">
        <f t="shared" ca="1" si="10"/>
        <v>---</v>
      </c>
      <c r="AB12" s="93" t="str">
        <f t="shared" ca="1" si="11"/>
        <v>--</v>
      </c>
      <c r="AC12" s="291" t="str">
        <f t="shared" ca="1" si="12"/>
        <v>--</v>
      </c>
      <c r="AD12" s="93" t="str">
        <f t="shared" ca="1" si="13"/>
        <v>--</v>
      </c>
      <c r="AE12" s="93" t="str">
        <f t="shared" ca="1" si="14"/>
        <v>---</v>
      </c>
      <c r="AF12" s="93" t="str">
        <f t="shared" ca="1" si="15"/>
        <v>---</v>
      </c>
      <c r="AG12" s="292" t="str">
        <f t="shared" ca="1" si="16"/>
        <v>---</v>
      </c>
      <c r="AH12" s="292" t="str">
        <f t="shared" ca="1" si="17"/>
        <v>---</v>
      </c>
      <c r="AI12" s="292" t="str">
        <f t="shared" ca="1" si="18"/>
        <v>---</v>
      </c>
      <c r="AJ12" s="292" t="str">
        <f t="shared" ca="1" si="19"/>
        <v>---</v>
      </c>
      <c r="AK12" s="293" t="str">
        <f t="shared" ca="1" si="20"/>
        <v>---</v>
      </c>
      <c r="AL12" s="293" t="str">
        <f t="shared" ca="1" si="21"/>
        <v>---</v>
      </c>
      <c r="AM12" s="293" t="str">
        <f t="shared" ca="1" si="22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T12" s="91"/>
      <c r="AU12" s="10"/>
      <c r="AV12" s="41"/>
      <c r="AW12" s="41"/>
      <c r="AX12" s="41"/>
      <c r="AY12" s="41"/>
      <c r="AZ12" s="41"/>
      <c r="BA12" s="41"/>
      <c r="BB12" s="41"/>
      <c r="BC12" s="41"/>
    </row>
    <row r="13" spans="2:55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0"/>
        <v>---</v>
      </c>
      <c r="R13" s="93" t="str">
        <f t="shared" ca="1" si="1"/>
        <v>---</v>
      </c>
      <c r="S13" s="93" t="str">
        <f t="shared" ca="1" si="2"/>
        <v>---</v>
      </c>
      <c r="T13" s="93" t="str">
        <f t="shared" ca="1" si="3"/>
        <v>---</v>
      </c>
      <c r="U13" s="289" t="str">
        <f t="shared" ca="1" si="4"/>
        <v>---</v>
      </c>
      <c r="V13" s="289" t="str">
        <f t="shared" ca="1" si="5"/>
        <v>---</v>
      </c>
      <c r="W13" s="93" t="str">
        <f t="shared" ca="1" si="6"/>
        <v>---</v>
      </c>
      <c r="X13" s="93" t="str">
        <f t="shared" ca="1" si="7"/>
        <v>---</v>
      </c>
      <c r="Y13" s="93" t="str">
        <f t="shared" ca="1" si="8"/>
        <v>---</v>
      </c>
      <c r="Z13" s="290" t="str">
        <f t="shared" ca="1" si="9"/>
        <v>---</v>
      </c>
      <c r="AA13" s="290" t="str">
        <f t="shared" ca="1" si="10"/>
        <v>---</v>
      </c>
      <c r="AB13" s="93" t="str">
        <f t="shared" ca="1" si="11"/>
        <v>--</v>
      </c>
      <c r="AC13" s="291" t="str">
        <f t="shared" ca="1" si="12"/>
        <v>--</v>
      </c>
      <c r="AD13" s="93" t="str">
        <f t="shared" ca="1" si="13"/>
        <v>--</v>
      </c>
      <c r="AE13" s="93" t="str">
        <f t="shared" ca="1" si="14"/>
        <v>---</v>
      </c>
      <c r="AF13" s="93" t="str">
        <f t="shared" ca="1" si="15"/>
        <v>---</v>
      </c>
      <c r="AG13" s="292" t="str">
        <f t="shared" ca="1" si="16"/>
        <v>---</v>
      </c>
      <c r="AH13" s="292" t="str">
        <f t="shared" ca="1" si="17"/>
        <v>---</v>
      </c>
      <c r="AI13" s="292" t="str">
        <f t="shared" ca="1" si="18"/>
        <v>---</v>
      </c>
      <c r="AJ13" s="292" t="str">
        <f t="shared" ca="1" si="19"/>
        <v>---</v>
      </c>
      <c r="AK13" s="293" t="str">
        <f t="shared" ca="1" si="20"/>
        <v>---</v>
      </c>
      <c r="AL13" s="293" t="str">
        <f t="shared" ca="1" si="21"/>
        <v>---</v>
      </c>
      <c r="AM13" s="293" t="str">
        <f t="shared" ca="1" si="22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T13" s="91"/>
      <c r="AU13" s="10"/>
      <c r="AV13" s="41"/>
      <c r="AW13" s="41"/>
      <c r="AX13" s="41"/>
      <c r="AY13" s="41"/>
      <c r="AZ13" s="41"/>
      <c r="BA13" s="41"/>
      <c r="BB13" s="41"/>
      <c r="BC13" s="41"/>
    </row>
    <row r="14" spans="2:55" ht="18" customHeight="1" thickBot="1" x14ac:dyDescent="0.35">
      <c r="T14" s="321" t="s">
        <v>411</v>
      </c>
      <c r="Z14" s="322"/>
      <c r="AA14" s="322"/>
      <c r="AS14" s="41"/>
      <c r="AT14" s="91"/>
      <c r="AU14" s="10"/>
      <c r="AV14" s="41"/>
      <c r="AW14" s="41"/>
      <c r="AX14" s="41"/>
      <c r="AY14" s="41"/>
      <c r="AZ14" s="41"/>
      <c r="BA14" s="41"/>
      <c r="BB14" s="41"/>
      <c r="BC14" s="41"/>
    </row>
    <row r="15" spans="2:55" ht="18" customHeight="1" thickBot="1" x14ac:dyDescent="0.35">
      <c r="N15" s="262"/>
      <c r="O15" s="263" t="s">
        <v>406</v>
      </c>
      <c r="P15" s="264">
        <f>MATCH(M19,DyTr_New,0)</f>
        <v>29</v>
      </c>
      <c r="Q15" s="265">
        <f ca="1">MATCH(TRUE,AO17:AO26,0)</f>
        <v>1</v>
      </c>
      <c r="R15" s="266" t="s">
        <v>103</v>
      </c>
      <c r="S15" s="267"/>
      <c r="T15" s="323">
        <f ca="1">IF(M6=M19,Q2,Q15)</f>
        <v>2</v>
      </c>
      <c r="U15" s="268">
        <f ca="1">MATCH(TRUE,AO17:AO26,0)</f>
        <v>1</v>
      </c>
      <c r="V15" s="269" t="s">
        <v>407</v>
      </c>
      <c r="W15" s="270"/>
      <c r="X15" s="270"/>
      <c r="Y15" s="270"/>
      <c r="Z15" s="838" t="s">
        <v>206</v>
      </c>
      <c r="AA15" s="838"/>
      <c r="AB15" s="258"/>
      <c r="AG15" s="826" t="s">
        <v>75</v>
      </c>
      <c r="AH15" s="826"/>
      <c r="AI15" s="826"/>
      <c r="AJ15" s="271" t="s">
        <v>66</v>
      </c>
      <c r="AK15" s="810" t="s">
        <v>65</v>
      </c>
      <c r="AL15" s="810"/>
      <c r="AM15" s="810"/>
      <c r="AN15" s="272"/>
      <c r="AO15" s="273">
        <f ca="1">MATCH(TRUE,AO17:AO26,0)</f>
        <v>1</v>
      </c>
      <c r="AP15" s="273">
        <f ca="1">MATCH(TRUE,AP17:AP26,0)</f>
        <v>1</v>
      </c>
      <c r="AQ15" s="802" t="s">
        <v>69</v>
      </c>
      <c r="AR15" s="803"/>
      <c r="AS15" s="41"/>
      <c r="AT15" s="91"/>
      <c r="AU15" s="10"/>
      <c r="AV15" s="41"/>
      <c r="AW15" s="41"/>
      <c r="AX15" s="41"/>
      <c r="AY15" s="41"/>
      <c r="AZ15" s="41"/>
      <c r="BA15" s="41"/>
      <c r="BB15" s="41"/>
      <c r="BC15" s="41"/>
    </row>
    <row r="16" spans="2:55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ПРЭМ-32-D-Cэндвич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ПРЭМ-32-D</v>
      </c>
      <c r="AU16" s="10"/>
      <c r="AV16" s="41"/>
      <c r="AW16" s="41"/>
      <c r="AX16" s="41"/>
      <c r="AY16" s="41"/>
      <c r="AZ16" s="41"/>
      <c r="BA16" s="41"/>
      <c r="BB16" s="41"/>
      <c r="BC16" s="41"/>
    </row>
    <row r="17" spans="2:55" ht="18" customHeight="1" x14ac:dyDescent="0.3">
      <c r="L17" s="287" t="s">
        <v>74</v>
      </c>
      <c r="M17" s="288">
        <v>0.5</v>
      </c>
      <c r="N17" s="88">
        <f ca="1">OFFSET(DyTr_New,P15-1,1,1)</f>
        <v>5</v>
      </c>
      <c r="O17" s="88">
        <v>1</v>
      </c>
      <c r="P17" s="93" t="str">
        <f t="shared" ref="P17:P24" ca="1" si="27">IF(O17&lt;=$N$17,OFFSET(DyTr_New,$P$15-2+O17,4,1),"---")</f>
        <v>32-80</v>
      </c>
      <c r="Q17" s="93" t="str">
        <f t="shared" ref="Q17:Q24" ca="1" si="28">IF(O17&lt;=$N$17,OFFSET(DyTr_New,$P$15-2+O17,2,1),"---")</f>
        <v>ПРЭМ-32</v>
      </c>
      <c r="R17" s="93">
        <f t="shared" ref="R17:R24" ca="1" si="29">IF(O17&lt;=$N$17,OFFSET(DyTr_New,$P$15-2+O17,5,1),"---")</f>
        <v>32</v>
      </c>
      <c r="S17" s="93" t="str">
        <f t="shared" ref="S17:S24" ca="1" si="30">IF(O17&lt;=$N$17,OFFSET(DyTr_New,$P$15-2+O17,6,1),"---")</f>
        <v>24,62</v>
      </c>
      <c r="T17" s="93">
        <f ca="1">IF(O17&lt;=$N$17,($M$20/3.6)/((PI()*R17^2)/4000),"---")</f>
        <v>2.941824061541332</v>
      </c>
      <c r="U17" s="289">
        <f ca="1">IF(O17&lt;=$N$17,(T17*R17/$M$22/1000),"---")</f>
        <v>234917.54245322148</v>
      </c>
      <c r="V17" s="289">
        <f ca="1">IF(O17&lt;=$N$17,(1/(1.14+2*LOG((R17/$M$17),10))^2),"---")</f>
        <v>4.4277322004702871E-2</v>
      </c>
      <c r="W17" s="93">
        <f ca="1">IF(O17&lt;=$N$17,(IF(S17=0,0,(V17/(8*SIN(RADIANS(S17/2))))*(1-(R17/$M$19)^4))),"---")</f>
        <v>2.5295285226432103E-2</v>
      </c>
      <c r="X17" s="93">
        <f ca="1">IF(O17&lt;=$N$17,(3.2*TAN(RADIANS(S17/2))^1.25*(1-(R17/$M$19)^2)^2),"---")</f>
        <v>0.33676116779011345</v>
      </c>
      <c r="Y17" s="93">
        <f ca="1">IF(O17&lt;=$N$17,(IF(S17=0,0,V17/(8*SIN(RADIANS(S17/2)))*(1-(R17/$M$19)^4))),"---")</f>
        <v>2.5295285226432103E-2</v>
      </c>
      <c r="Z17" s="290">
        <f t="shared" ref="Z17:Z24" ca="1" si="31">IF(O17&lt;=$N$17,VLOOKUP(Q17&amp;"-Сэндвич",TypePFlow,3,FALSE),"---")</f>
        <v>0</v>
      </c>
      <c r="AA17" s="290">
        <f t="shared" ref="AA17:AA24" ca="1" si="32">IF(O17&lt;=$N$17,VLOOKUP(Q17&amp;"-Фланец",TypePFlow,3,FALSE),"---")</f>
        <v>0</v>
      </c>
      <c r="AB17" s="93">
        <f t="shared" ref="AB17:AB24" ca="1" si="33">IF(O17&lt;=$N$17,(V17*4+W17+X17+Y17)*T17^2/(2*9.81),"--")</f>
        <v>0.24898222839811274</v>
      </c>
      <c r="AC17" s="291">
        <f t="shared" ref="AC17:AC24" ca="1" si="34">IF(O17&lt;=$N$17,(Z17*$M$20^2),"--")</f>
        <v>0</v>
      </c>
      <c r="AD17" s="93">
        <f t="shared" ref="AD17:AD24" ca="1" si="35">IF(O17&lt;=$N$17,(AA17*$M$20^2),"--")</f>
        <v>0</v>
      </c>
      <c r="AE17" s="93">
        <f t="shared" ref="AE17:AE24" ca="1" si="36">IF(O17&lt;=$N$17,(AB17+AC17),"---")</f>
        <v>0.24898222839811274</v>
      </c>
      <c r="AF17" s="93">
        <f t="shared" ref="AF17:AF24" ca="1" si="37">IF(O17&lt;=$N$17,(AB17+AD17),"---")</f>
        <v>0.24898222839811274</v>
      </c>
      <c r="AG17" s="292">
        <f t="shared" ref="AG17:AG24" ca="1" si="38">IF(O17&lt;=$N$17,VLOOKUP(Q17&amp;"-D",ParamPiterflow,2,FALSE),"---")</f>
        <v>0.2</v>
      </c>
      <c r="AH17" s="292">
        <f t="shared" ref="AH17:AH24" ca="1" si="39">IF(O17&lt;=$N$17,VLOOKUP(Q17&amp;"-C1",ParamPiterflow,2,FALSE),"---")</f>
        <v>0.12</v>
      </c>
      <c r="AI17" s="292">
        <f t="shared" ref="AI17:AI24" ca="1" si="40">IF(O17&lt;=$N$17,VLOOKUP(Q17&amp;"-B1",ParamPiterflow,2,FALSE),"---")</f>
        <v>6.7000000000000004E-2</v>
      </c>
      <c r="AJ17" s="292">
        <f t="shared" ref="AJ17:AJ24" ca="1" si="41">IF(O17&lt;=$N$17,VLOOKUP(Q17&amp;"-D",ParamPiterflow,4,FALSE),"---")</f>
        <v>30</v>
      </c>
      <c r="AK17" s="293" t="b">
        <f t="shared" ref="AK17:AK24" ca="1" si="42">IF($O17&lt;=$N$17,AND(AG17&lt;$M$21,$AJ17&gt;$M$20),"---")</f>
        <v>1</v>
      </c>
      <c r="AL17" s="293" t="b">
        <f t="shared" ref="AL17:AL24" ca="1" si="43">IF($O17&lt;=$N$17,AND(AH17&lt;$M$21,$AJ17&gt;$M$20),"---")</f>
        <v>1</v>
      </c>
      <c r="AM17" s="293" t="b">
        <f t="shared" ref="AM17:AM24" ca="1" si="44">IF($O17&lt;=$N$17,AND(AI17&lt;$M$21,$AJ17&gt;$M$20),"---")</f>
        <v>1</v>
      </c>
      <c r="AN17" s="294" t="str">
        <f ca="1">IF($O17&lt;=$N$17,IF(AK17,"D",IF(AL17,"C1",IF(AM17,"B1","НЕТ"))),"---")</f>
        <v>D</v>
      </c>
      <c r="AO17" s="294" t="b">
        <f ca="1">IF($O17&lt;=$N$17,AND(AE17&lt;$M$18,NOT(AN17="НЕТ"),IF($F$26="Экономный",T17&lt;=3,IF(AND($F$26="Оптимальный",T17&gt;$E$51),T17&lt;=1.8,IF(AND($F$26="Затратный",T17&gt;$E$51),T17&lt;=1,T17&lt;=3)))),"---")</f>
        <v>1</v>
      </c>
      <c r="AP17" s="294" t="b">
        <f ca="1">IF($O17&lt;=$N$17,AND(AF17&lt;$M$18,NOT(AN17="НЕТ"),IF($F$26="Экономный",T17&lt;=3,IF(AND($F$26="Оптимальный",T17&gt;$E$51),T17&lt;=1.8,IF(AND($F$26="Затратный",T17&gt;$E$51),T17&lt;=1,T17&lt;=3)))),"---")</f>
        <v>1</v>
      </c>
      <c r="AQ17" s="295"/>
      <c r="AR17" s="296"/>
      <c r="AS17" s="41"/>
      <c r="AT17" s="9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" customHeight="1" x14ac:dyDescent="0.3">
      <c r="L18" s="297" t="s">
        <v>189</v>
      </c>
      <c r="M18" s="298">
        <f>E32</f>
        <v>0.5</v>
      </c>
      <c r="N18" s="88"/>
      <c r="O18" s="88">
        <v>2</v>
      </c>
      <c r="P18" s="93" t="str">
        <f t="shared" ca="1" si="27"/>
        <v>40-80</v>
      </c>
      <c r="Q18" s="93" t="str">
        <f t="shared" ca="1" si="28"/>
        <v>ПРЭМ-40</v>
      </c>
      <c r="R18" s="93">
        <f t="shared" ca="1" si="29"/>
        <v>40</v>
      </c>
      <c r="S18" s="93" t="str">
        <f t="shared" ca="1" si="30"/>
        <v>34,2</v>
      </c>
      <c r="T18" s="93">
        <f t="shared" ref="T18:T24" ca="1" si="45">IF(O18&lt;=$N$17,($M$20/3.6)/((PI()*R18^2)/4000),"---")</f>
        <v>1.8827673993864524</v>
      </c>
      <c r="U18" s="289">
        <f t="shared" ref="U18:U24" ca="1" si="46">IF(O18&lt;=$N$17,(T18*R18/$M$22/1000),"---")</f>
        <v>187934.0339625772</v>
      </c>
      <c r="V18" s="289">
        <f t="shared" ref="V18:V24" ca="1" si="47">IF(O18&lt;=$N$17,(1/(1.14+2*LOG((R18/$M$17),10))^2),"---")</f>
        <v>4.0875226338606262E-2</v>
      </c>
      <c r="W18" s="93">
        <f t="shared" ref="W18:W24" ca="1" si="48">IF(O18&lt;=$N$17,(IF(S18=0,0,(V18/(8*SIN(RADIANS(S18/2))))*(1-(R18/$M$19)^4))),"---")</f>
        <v>1.6290505673910789E-2</v>
      </c>
      <c r="X18" s="93">
        <f t="shared" ref="X18:X24" ca="1" si="49">IF(O18&lt;=$N$17,(3.2*TAN(RADIANS(S18/2))^1.25*(1-(R18/$M$19)^2)^2),"---")</f>
        <v>0.41240726556644086</v>
      </c>
      <c r="Y18" s="93">
        <f t="shared" ref="Y18:Y24" ca="1" si="50">IF(O18&lt;=$N$17,(IF(S18=0,0,V18/(8*SIN(RADIANS(S18/2)))*(1-(R18/$M$19)^4))),"---")</f>
        <v>1.6290505673910789E-2</v>
      </c>
      <c r="Z18" s="290">
        <f t="shared" ca="1" si="31"/>
        <v>0</v>
      </c>
      <c r="AA18" s="290">
        <f t="shared" ca="1" si="32"/>
        <v>0</v>
      </c>
      <c r="AB18" s="93">
        <f t="shared" ca="1" si="33"/>
        <v>0.10993783957500691</v>
      </c>
      <c r="AC18" s="291">
        <f t="shared" ca="1" si="34"/>
        <v>0</v>
      </c>
      <c r="AD18" s="93">
        <f t="shared" ca="1" si="35"/>
        <v>0</v>
      </c>
      <c r="AE18" s="93">
        <f t="shared" ca="1" si="36"/>
        <v>0.10993783957500691</v>
      </c>
      <c r="AF18" s="93">
        <f t="shared" ca="1" si="37"/>
        <v>0.10993783957500691</v>
      </c>
      <c r="AG18" s="292">
        <f t="shared" ca="1" si="38"/>
        <v>0.3</v>
      </c>
      <c r="AH18" s="292">
        <f t="shared" ca="1" si="39"/>
        <v>0.18</v>
      </c>
      <c r="AI18" s="292">
        <f t="shared" ca="1" si="40"/>
        <v>0.1</v>
      </c>
      <c r="AJ18" s="292">
        <f t="shared" ca="1" si="41"/>
        <v>45</v>
      </c>
      <c r="AK18" s="293" t="b">
        <f t="shared" ca="1" si="42"/>
        <v>1</v>
      </c>
      <c r="AL18" s="293" t="b">
        <f t="shared" ca="1" si="43"/>
        <v>1</v>
      </c>
      <c r="AM18" s="293" t="b">
        <f t="shared" ca="1" si="44"/>
        <v>1</v>
      </c>
      <c r="AN18" s="294" t="str">
        <f t="shared" ref="AN18:AN24" ca="1" si="51">IF($O18&lt;=$N$17,IF(AK18,"D",IF(AL18,"C1",IF(AM18,"B1","НЕТ"))),"---")</f>
        <v>D</v>
      </c>
      <c r="AO18" s="294" t="b">
        <f t="shared" ref="AO18:AO26" ca="1" si="52">IF($O18&lt;=$N$17,AND(AE18&lt;$M$18,NOT(AN18="НЕТ"),IF($F$26="Экономный",T18&lt;=3,IF(AND($F$26="Оптимальный",T18&gt;$E$51),T18&lt;=1.8,IF(AND($F$26="Затратный",T18&gt;$E$51),T18&lt;=1,T18&lt;=3)))),"---")</f>
        <v>1</v>
      </c>
      <c r="AP18" s="294" t="b">
        <f t="shared" ref="AP18:AP26" ca="1" si="53">IF($O18&lt;=$N$17,AND(AF18&lt;$M$18,NOT(AN18="НЕТ"),IF($F$26="Экономный",T18&lt;=3,IF(AND($F$26="Оптимальный",T18&gt;$E$51),T18&lt;=1.8,IF(AND($F$26="Затратный",T18&gt;$E$51),T18&lt;=1,T18&lt;=3)))),"---")</f>
        <v>1</v>
      </c>
      <c r="AQ18" s="299" t="s">
        <v>18</v>
      </c>
      <c r="AR18" s="300">
        <f ca="1">OFFSET(T17,IF(ISERROR(AO15),IF(ISERROR(AP15),"НЕТ",AP15),AO15)-1,0,1)</f>
        <v>2.941824061541332</v>
      </c>
      <c r="AS18" s="41"/>
      <c r="AT18" s="9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" customHeight="1" x14ac:dyDescent="0.3">
      <c r="L19" s="302" t="s">
        <v>410</v>
      </c>
      <c r="M19" s="303">
        <f>$E$33</f>
        <v>80</v>
      </c>
      <c r="N19" s="88"/>
      <c r="O19" s="88">
        <v>3</v>
      </c>
      <c r="P19" s="93" t="str">
        <f t="shared" ca="1" si="27"/>
        <v>50-80</v>
      </c>
      <c r="Q19" s="93" t="str">
        <f t="shared" ca="1" si="28"/>
        <v>ПРЭМ-50</v>
      </c>
      <c r="R19" s="93">
        <f t="shared" ca="1" si="29"/>
        <v>50</v>
      </c>
      <c r="S19" s="93" t="str">
        <f t="shared" ca="1" si="30"/>
        <v>25,98</v>
      </c>
      <c r="T19" s="93">
        <f t="shared" ca="1" si="45"/>
        <v>1.2049711356073296</v>
      </c>
      <c r="U19" s="289">
        <f t="shared" ca="1" si="46"/>
        <v>150347.22717006173</v>
      </c>
      <c r="V19" s="289">
        <f t="shared" ca="1" si="47"/>
        <v>3.7850686611455138E-2</v>
      </c>
      <c r="W19" s="93">
        <f t="shared" ca="1" si="48"/>
        <v>1.7836878689553519E-2</v>
      </c>
      <c r="X19" s="93">
        <f t="shared" ca="1" si="49"/>
        <v>0.18997302592343249</v>
      </c>
      <c r="Y19" s="93">
        <f t="shared" ca="1" si="50"/>
        <v>1.7836878689553519E-2</v>
      </c>
      <c r="Z19" s="290">
        <f t="shared" ca="1" si="31"/>
        <v>0</v>
      </c>
      <c r="AA19" s="290">
        <f t="shared" ca="1" si="32"/>
        <v>0</v>
      </c>
      <c r="AB19" s="93">
        <f t="shared" ca="1" si="33"/>
        <v>2.7903114932737356E-2</v>
      </c>
      <c r="AC19" s="291">
        <f t="shared" ca="1" si="34"/>
        <v>0</v>
      </c>
      <c r="AD19" s="93">
        <f t="shared" ca="1" si="35"/>
        <v>0</v>
      </c>
      <c r="AE19" s="93">
        <f t="shared" ca="1" si="36"/>
        <v>2.7903114932737356E-2</v>
      </c>
      <c r="AF19" s="93">
        <f t="shared" ca="1" si="37"/>
        <v>2.7903114932737356E-2</v>
      </c>
      <c r="AG19" s="292">
        <f t="shared" ca="1" si="38"/>
        <v>0.48</v>
      </c>
      <c r="AH19" s="292">
        <f t="shared" ca="1" si="39"/>
        <v>0.28799999999999998</v>
      </c>
      <c r="AI19" s="292">
        <f t="shared" ca="1" si="40"/>
        <v>0.16</v>
      </c>
      <c r="AJ19" s="292">
        <f t="shared" ca="1" si="41"/>
        <v>72</v>
      </c>
      <c r="AK19" s="293" t="b">
        <f t="shared" ca="1" si="42"/>
        <v>1</v>
      </c>
      <c r="AL19" s="293" t="b">
        <f t="shared" ca="1" si="43"/>
        <v>1</v>
      </c>
      <c r="AM19" s="293" t="b">
        <f t="shared" ca="1" si="44"/>
        <v>1</v>
      </c>
      <c r="AN19" s="294" t="str">
        <f t="shared" ca="1" si="51"/>
        <v>D</v>
      </c>
      <c r="AO19" s="294" t="b">
        <f t="shared" ca="1" si="52"/>
        <v>1</v>
      </c>
      <c r="AP19" s="294" t="b">
        <f t="shared" ca="1" si="53"/>
        <v>1</v>
      </c>
      <c r="AQ19" s="65" t="s">
        <v>22</v>
      </c>
      <c r="AR19" s="300">
        <f ca="1">IF(ISERROR(AO15),IF(ISERROR(AP15),"НЕТ",OFFSET(AF17,AP15-1,0,1)),OFFSET(AE17,AO15-1,0,1))</f>
        <v>0.24898222839811274</v>
      </c>
      <c r="AS19" s="41"/>
      <c r="AT19" s="9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" customHeight="1" x14ac:dyDescent="0.3">
      <c r="L20" s="305" t="s">
        <v>71</v>
      </c>
      <c r="M20" s="306">
        <f>E48</f>
        <v>8.5174390516764085</v>
      </c>
      <c r="N20" s="88"/>
      <c r="O20" s="88">
        <v>4</v>
      </c>
      <c r="P20" s="93" t="str">
        <f t="shared" ca="1" si="27"/>
        <v>65-80</v>
      </c>
      <c r="Q20" s="93" t="str">
        <f t="shared" ca="1" si="28"/>
        <v>ПРЭМ-65</v>
      </c>
      <c r="R20" s="93">
        <f t="shared" ca="1" si="29"/>
        <v>65</v>
      </c>
      <c r="S20" s="93" t="str">
        <f t="shared" ca="1" si="30"/>
        <v>13,16</v>
      </c>
      <c r="T20" s="93">
        <f t="shared" ca="1" si="45"/>
        <v>0.71300067195699979</v>
      </c>
      <c r="U20" s="289">
        <f t="shared" ca="1" si="46"/>
        <v>115651.7132077398</v>
      </c>
      <c r="V20" s="289">
        <f t="shared" ca="1" si="47"/>
        <v>3.4705101432211762E-2</v>
      </c>
      <c r="W20" s="93">
        <f t="shared" ca="1" si="48"/>
        <v>2.1359121285165365E-2</v>
      </c>
      <c r="X20" s="93">
        <f t="shared" ca="1" si="49"/>
        <v>2.4844576664893425E-2</v>
      </c>
      <c r="Y20" s="93">
        <f t="shared" ca="1" si="50"/>
        <v>2.1359121285165365E-2</v>
      </c>
      <c r="Z20" s="290" t="e">
        <f t="shared" ca="1" si="31"/>
        <v>#N/A</v>
      </c>
      <c r="AA20" s="290">
        <f t="shared" ca="1" si="32"/>
        <v>0</v>
      </c>
      <c r="AB20" s="93">
        <f t="shared" ca="1" si="33"/>
        <v>5.3475551197993774E-3</v>
      </c>
      <c r="AC20" s="291" t="e">
        <f t="shared" ca="1" si="34"/>
        <v>#N/A</v>
      </c>
      <c r="AD20" s="93">
        <f t="shared" ca="1" si="35"/>
        <v>0</v>
      </c>
      <c r="AE20" s="93" t="e">
        <f t="shared" ca="1" si="36"/>
        <v>#N/A</v>
      </c>
      <c r="AF20" s="93">
        <f t="shared" ca="1" si="37"/>
        <v>5.3475551197993774E-3</v>
      </c>
      <c r="AG20" s="292">
        <f t="shared" ca="1" si="38"/>
        <v>0.8</v>
      </c>
      <c r="AH20" s="292">
        <f t="shared" ca="1" si="39"/>
        <v>0.48</v>
      </c>
      <c r="AI20" s="292">
        <f t="shared" ca="1" si="40"/>
        <v>0.26700000000000002</v>
      </c>
      <c r="AJ20" s="292">
        <f t="shared" ca="1" si="41"/>
        <v>120</v>
      </c>
      <c r="AK20" s="293" t="b">
        <f t="shared" ca="1" si="42"/>
        <v>1</v>
      </c>
      <c r="AL20" s="293" t="b">
        <f t="shared" ca="1" si="43"/>
        <v>1</v>
      </c>
      <c r="AM20" s="293" t="b">
        <f t="shared" ca="1" si="44"/>
        <v>1</v>
      </c>
      <c r="AN20" s="294" t="str">
        <f t="shared" ca="1" si="51"/>
        <v>D</v>
      </c>
      <c r="AO20" s="294" t="e">
        <f t="shared" ca="1" si="52"/>
        <v>#N/A</v>
      </c>
      <c r="AP20" s="294" t="b">
        <f t="shared" ca="1" si="53"/>
        <v>1</v>
      </c>
      <c r="AQ20" s="307"/>
      <c r="AR20" s="308"/>
      <c r="AS20" s="41"/>
      <c r="AT20" s="9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" customHeight="1" x14ac:dyDescent="0.3">
      <c r="L21" s="305" t="s">
        <v>72</v>
      </c>
      <c r="M21" s="306">
        <f>E49</f>
        <v>4.2587195258382042</v>
      </c>
      <c r="N21" s="88"/>
      <c r="O21" s="88">
        <v>5</v>
      </c>
      <c r="P21" s="93" t="str">
        <f t="shared" ca="1" si="27"/>
        <v>80-80</v>
      </c>
      <c r="Q21" s="93" t="str">
        <f t="shared" ca="1" si="28"/>
        <v>ПРЭМ-80</v>
      </c>
      <c r="R21" s="93">
        <f t="shared" ca="1" si="29"/>
        <v>80</v>
      </c>
      <c r="S21" s="93">
        <f t="shared" ca="1" si="30"/>
        <v>0</v>
      </c>
      <c r="T21" s="93">
        <f t="shared" ca="1" si="45"/>
        <v>0.47069184984661311</v>
      </c>
      <c r="U21" s="289">
        <f t="shared" ca="1" si="46"/>
        <v>93967.016981288602</v>
      </c>
      <c r="V21" s="289">
        <f t="shared" ca="1" si="47"/>
        <v>3.248549788373601E-2</v>
      </c>
      <c r="W21" s="93">
        <f t="shared" ca="1" si="48"/>
        <v>0</v>
      </c>
      <c r="X21" s="93">
        <f t="shared" ca="1" si="49"/>
        <v>0</v>
      </c>
      <c r="Y21" s="93">
        <f t="shared" ca="1" si="50"/>
        <v>0</v>
      </c>
      <c r="Z21" s="290" t="e">
        <f t="shared" ca="1" si="31"/>
        <v>#N/A</v>
      </c>
      <c r="AA21" s="290">
        <f t="shared" ca="1" si="32"/>
        <v>0</v>
      </c>
      <c r="AB21" s="93">
        <f t="shared" ca="1" si="33"/>
        <v>1.4673167407598211E-3</v>
      </c>
      <c r="AC21" s="291" t="e">
        <f t="shared" ca="1" si="34"/>
        <v>#N/A</v>
      </c>
      <c r="AD21" s="93">
        <f t="shared" ca="1" si="35"/>
        <v>0</v>
      </c>
      <c r="AE21" s="93" t="e">
        <f t="shared" ca="1" si="36"/>
        <v>#N/A</v>
      </c>
      <c r="AF21" s="93">
        <f t="shared" ca="1" si="37"/>
        <v>1.4673167407598211E-3</v>
      </c>
      <c r="AG21" s="292">
        <f t="shared" ca="1" si="38"/>
        <v>1.2</v>
      </c>
      <c r="AH21" s="292">
        <f t="shared" ca="1" si="39"/>
        <v>0.72</v>
      </c>
      <c r="AI21" s="292">
        <f t="shared" ca="1" si="40"/>
        <v>0.4</v>
      </c>
      <c r="AJ21" s="292">
        <f t="shared" ca="1" si="41"/>
        <v>180</v>
      </c>
      <c r="AK21" s="293" t="b">
        <f t="shared" ca="1" si="42"/>
        <v>1</v>
      </c>
      <c r="AL21" s="293" t="b">
        <f t="shared" ca="1" si="43"/>
        <v>1</v>
      </c>
      <c r="AM21" s="293" t="b">
        <f t="shared" ca="1" si="44"/>
        <v>1</v>
      </c>
      <c r="AN21" s="294" t="str">
        <f t="shared" ca="1" si="51"/>
        <v>D</v>
      </c>
      <c r="AO21" s="294" t="e">
        <f t="shared" ca="1" si="52"/>
        <v>#N/A</v>
      </c>
      <c r="AP21" s="294" t="b">
        <f t="shared" ca="1" si="53"/>
        <v>1</v>
      </c>
      <c r="AQ21" s="311"/>
      <c r="AR21" s="312"/>
      <c r="AS21" s="41"/>
      <c r="AT21" s="259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" customHeight="1" x14ac:dyDescent="0.3">
      <c r="L22" s="305" t="s">
        <v>73</v>
      </c>
      <c r="M22" s="315">
        <f>E61</f>
        <v>4.0072941759157111E-7</v>
      </c>
      <c r="N22" s="88"/>
      <c r="O22" s="88">
        <v>6</v>
      </c>
      <c r="P22" s="93" t="str">
        <f t="shared" ca="1" si="27"/>
        <v>---</v>
      </c>
      <c r="Q22" s="93" t="str">
        <f t="shared" ca="1" si="28"/>
        <v>---</v>
      </c>
      <c r="R22" s="93" t="str">
        <f t="shared" ca="1" si="29"/>
        <v>---</v>
      </c>
      <c r="S22" s="93" t="str">
        <f t="shared" ca="1" si="30"/>
        <v>---</v>
      </c>
      <c r="T22" s="93" t="str">
        <f t="shared" ca="1" si="45"/>
        <v>---</v>
      </c>
      <c r="U22" s="289" t="str">
        <f t="shared" ca="1" si="46"/>
        <v>---</v>
      </c>
      <c r="V22" s="289" t="str">
        <f t="shared" ca="1" si="47"/>
        <v>---</v>
      </c>
      <c r="W22" s="93" t="str">
        <f t="shared" ca="1" si="48"/>
        <v>---</v>
      </c>
      <c r="X22" s="93" t="str">
        <f t="shared" ca="1" si="49"/>
        <v>---</v>
      </c>
      <c r="Y22" s="93" t="str">
        <f t="shared" ca="1" si="50"/>
        <v>---</v>
      </c>
      <c r="Z22" s="290" t="str">
        <f t="shared" ca="1" si="31"/>
        <v>---</v>
      </c>
      <c r="AA22" s="290" t="str">
        <f t="shared" ca="1" si="32"/>
        <v>---</v>
      </c>
      <c r="AB22" s="93" t="str">
        <f t="shared" ca="1" si="33"/>
        <v>--</v>
      </c>
      <c r="AC22" s="291" t="str">
        <f t="shared" ca="1" si="34"/>
        <v>--</v>
      </c>
      <c r="AD22" s="93" t="str">
        <f t="shared" ca="1" si="35"/>
        <v>--</v>
      </c>
      <c r="AE22" s="93" t="str">
        <f t="shared" ca="1" si="36"/>
        <v>---</v>
      </c>
      <c r="AF22" s="93" t="str">
        <f t="shared" ca="1" si="37"/>
        <v>---</v>
      </c>
      <c r="AG22" s="292" t="str">
        <f t="shared" ca="1" si="38"/>
        <v>---</v>
      </c>
      <c r="AH22" s="292" t="str">
        <f t="shared" ca="1" si="39"/>
        <v>---</v>
      </c>
      <c r="AI22" s="292" t="str">
        <f t="shared" ca="1" si="40"/>
        <v>---</v>
      </c>
      <c r="AJ22" s="292" t="str">
        <f t="shared" ca="1" si="41"/>
        <v>---</v>
      </c>
      <c r="AK22" s="293" t="str">
        <f t="shared" ca="1" si="42"/>
        <v>---</v>
      </c>
      <c r="AL22" s="293" t="str">
        <f t="shared" ca="1" si="43"/>
        <v>---</v>
      </c>
      <c r="AM22" s="293" t="str">
        <f t="shared" ca="1" si="44"/>
        <v>---</v>
      </c>
      <c r="AN22" s="294" t="str">
        <f t="shared" ca="1" si="51"/>
        <v>---</v>
      </c>
      <c r="AO22" s="294" t="str">
        <f t="shared" ca="1" si="52"/>
        <v>---</v>
      </c>
      <c r="AP22" s="294" t="str">
        <f t="shared" ca="1" si="53"/>
        <v>---</v>
      </c>
      <c r="AQ22" s="91"/>
      <c r="AS22" s="41"/>
      <c r="AT22" s="259"/>
      <c r="AU22" s="258"/>
      <c r="AV22" s="258"/>
      <c r="AW22" s="349"/>
      <c r="AX22" s="349"/>
      <c r="AY22" s="258"/>
      <c r="AZ22" s="258"/>
      <c r="BA22" s="258"/>
      <c r="BB22" s="258"/>
      <c r="BC22" s="349"/>
    </row>
    <row r="23" spans="2:55" ht="18" customHeight="1" thickBot="1" x14ac:dyDescent="0.35">
      <c r="L23" s="318" t="s">
        <v>102</v>
      </c>
      <c r="M23" s="319">
        <f>(M20/3.6)/((PI()*M19^2)/4000)</f>
        <v>0.47069184984661311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30"/>
        <v>---</v>
      </c>
      <c r="T23" s="93" t="str">
        <f t="shared" ca="1" si="45"/>
        <v>---</v>
      </c>
      <c r="U23" s="289" t="str">
        <f t="shared" ca="1" si="46"/>
        <v>---</v>
      </c>
      <c r="V23" s="289" t="str">
        <f t="shared" ca="1" si="47"/>
        <v>---</v>
      </c>
      <c r="W23" s="93" t="str">
        <f t="shared" ca="1" si="48"/>
        <v>---</v>
      </c>
      <c r="X23" s="93" t="str">
        <f t="shared" ca="1" si="49"/>
        <v>---</v>
      </c>
      <c r="Y23" s="93" t="str">
        <f t="shared" ca="1" si="50"/>
        <v>---</v>
      </c>
      <c r="Z23" s="290" t="str">
        <f t="shared" ca="1" si="31"/>
        <v>---</v>
      </c>
      <c r="AA23" s="290" t="str">
        <f t="shared" ca="1" si="32"/>
        <v>---</v>
      </c>
      <c r="AB23" s="93" t="str">
        <f t="shared" ca="1" si="33"/>
        <v>--</v>
      </c>
      <c r="AC23" s="291" t="str">
        <f t="shared" ca="1" si="34"/>
        <v>--</v>
      </c>
      <c r="AD23" s="93" t="str">
        <f t="shared" ca="1" si="35"/>
        <v>--</v>
      </c>
      <c r="AE23" s="93" t="str">
        <f t="shared" ca="1" si="36"/>
        <v>---</v>
      </c>
      <c r="AF23" s="93" t="str">
        <f t="shared" ca="1" si="37"/>
        <v>---</v>
      </c>
      <c r="AG23" s="292" t="str">
        <f t="shared" ca="1" si="38"/>
        <v>---</v>
      </c>
      <c r="AH23" s="292" t="str">
        <f t="shared" ca="1" si="39"/>
        <v>---</v>
      </c>
      <c r="AI23" s="292" t="str">
        <f t="shared" ca="1" si="40"/>
        <v>---</v>
      </c>
      <c r="AJ23" s="292" t="str">
        <f t="shared" ca="1" si="41"/>
        <v>---</v>
      </c>
      <c r="AK23" s="293" t="str">
        <f t="shared" ca="1" si="42"/>
        <v>---</v>
      </c>
      <c r="AL23" s="293" t="str">
        <f t="shared" ca="1" si="43"/>
        <v>---</v>
      </c>
      <c r="AM23" s="293" t="str">
        <f t="shared" ca="1" si="44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259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2:55" ht="18" customHeight="1" x14ac:dyDescent="0.3">
      <c r="O24" s="88">
        <v>8</v>
      </c>
      <c r="P24" s="93" t="str">
        <f t="shared" ca="1" si="27"/>
        <v>---</v>
      </c>
      <c r="Q24" s="93" t="str">
        <f t="shared" ca="1" si="28"/>
        <v>---</v>
      </c>
      <c r="R24" s="93" t="str">
        <f t="shared" ca="1" si="29"/>
        <v>---</v>
      </c>
      <c r="S24" s="93" t="str">
        <f t="shared" ca="1" si="30"/>
        <v>---</v>
      </c>
      <c r="T24" s="93" t="str">
        <f t="shared" ca="1" si="45"/>
        <v>---</v>
      </c>
      <c r="U24" s="289" t="str">
        <f t="shared" ca="1" si="46"/>
        <v>---</v>
      </c>
      <c r="V24" s="289" t="str">
        <f t="shared" ca="1" si="47"/>
        <v>---</v>
      </c>
      <c r="W24" s="93" t="str">
        <f t="shared" ca="1" si="48"/>
        <v>---</v>
      </c>
      <c r="X24" s="93" t="str">
        <f t="shared" ca="1" si="49"/>
        <v>---</v>
      </c>
      <c r="Y24" s="93" t="str">
        <f t="shared" ca="1" si="50"/>
        <v>---</v>
      </c>
      <c r="Z24" s="290" t="str">
        <f t="shared" ca="1" si="31"/>
        <v>---</v>
      </c>
      <c r="AA24" s="290" t="str">
        <f t="shared" ca="1" si="32"/>
        <v>---</v>
      </c>
      <c r="AB24" s="93" t="str">
        <f t="shared" ca="1" si="33"/>
        <v>--</v>
      </c>
      <c r="AC24" s="291" t="str">
        <f t="shared" ca="1" si="34"/>
        <v>--</v>
      </c>
      <c r="AD24" s="93" t="str">
        <f t="shared" ca="1" si="35"/>
        <v>--</v>
      </c>
      <c r="AE24" s="93" t="str">
        <f t="shared" ca="1" si="36"/>
        <v>---</v>
      </c>
      <c r="AF24" s="93" t="str">
        <f t="shared" ca="1" si="37"/>
        <v>---</v>
      </c>
      <c r="AG24" s="292" t="str">
        <f t="shared" ca="1" si="38"/>
        <v>---</v>
      </c>
      <c r="AH24" s="292" t="str">
        <f t="shared" ca="1" si="39"/>
        <v>---</v>
      </c>
      <c r="AI24" s="292" t="str">
        <f t="shared" ca="1" si="40"/>
        <v>---</v>
      </c>
      <c r="AJ24" s="292" t="str">
        <f t="shared" ca="1" si="41"/>
        <v>---</v>
      </c>
      <c r="AK24" s="293" t="str">
        <f t="shared" ca="1" si="42"/>
        <v>---</v>
      </c>
      <c r="AL24" s="293" t="str">
        <f t="shared" ca="1" si="43"/>
        <v>---</v>
      </c>
      <c r="AM24" s="293" t="str">
        <f t="shared" ca="1" si="44"/>
        <v>---</v>
      </c>
      <c r="AN24" s="294" t="str">
        <f t="shared" ca="1" si="51"/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259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2:55" ht="18" customHeight="1" thickBot="1" x14ac:dyDescent="0.35">
      <c r="O25" s="88">
        <v>9</v>
      </c>
      <c r="P25" s="93" t="str">
        <f ca="1">IF(O25&lt;=$N$17,OFFSET(DyTr_New,$P$15-2+O25,4,1),"---")</f>
        <v>---</v>
      </c>
      <c r="Q25" s="93" t="str">
        <f ca="1">IF(O25&lt;=$N$17,OFFSET(DyTr_New,$P$15-2+O25,2,1),"---")</f>
        <v>---</v>
      </c>
      <c r="R25" s="93" t="str">
        <f ca="1">IF(O25&lt;=$N$17,OFFSET(DyTr_New,$P$15-2+O25,5,1),"---")</f>
        <v>---</v>
      </c>
      <c r="S25" s="93" t="str">
        <f ca="1">IF(O25&lt;=$N$17,OFFSET(DyTr_New,$P$15-2+O25,6,1),"---")</f>
        <v>---</v>
      </c>
      <c r="T25" s="93" t="str">
        <f ca="1">IF(O25&lt;=$N$17,($M$20/3.6)/((PI()*R25^2)/4000),"---")</f>
        <v>---</v>
      </c>
      <c r="U25" s="289" t="str">
        <f ca="1">IF(O25&lt;=$N$17,(T25*R25/$M$22/1000),"---")</f>
        <v>---</v>
      </c>
      <c r="V25" s="289" t="str">
        <f ca="1">IF(O25&lt;=$N$4,(1/(1.14+2*LOG((R25/$M$4),10))^2),"---")</f>
        <v>---</v>
      </c>
      <c r="W25" s="93" t="str">
        <f ca="1">IF(O25&lt;=$N$17,(IF(S25=0,0,(V25/(8*SIN(RADIANS(S25/2))))*(1-(R25/$M$19)^4))),"---")</f>
        <v>---</v>
      </c>
      <c r="X25" s="93" t="str">
        <f ca="1">IF(O25&lt;=$N$17,(3.2*TAN(RADIANS(S25/2))^1.25*(1-(R25/$M$19)^2)^2),"---")</f>
        <v>---</v>
      </c>
      <c r="Y25" s="93" t="str">
        <f ca="1">IF(O25&lt;=$N$17,(IF(S25=0,0,V25/(8*SIN(RADIANS(S25/2)))*(1-(R25/$M$19)^4))),"---")</f>
        <v>---</v>
      </c>
      <c r="Z25" s="290" t="str">
        <f ca="1">IF(O25&lt;=$N$17,VLOOKUP(Q25&amp;"-Сэндвич",TypePFlow,3,FALSE),"---")</f>
        <v>---</v>
      </c>
      <c r="AA25" s="290" t="str">
        <f ca="1">IF(O25&lt;=$N$17,VLOOKUP(Q25&amp;"-Фланец",TypePFlow,3,FALSE),"---")</f>
        <v>---</v>
      </c>
      <c r="AB25" s="93" t="str">
        <f ca="1">IF(O25&lt;=$N$17,(V25*4+W25+X25+Y25)*T25^2/(2*9.81),"--")</f>
        <v>--</v>
      </c>
      <c r="AC25" s="291" t="str">
        <f ca="1">IF(O25&lt;=$N$17,(Z25*$M$20^2),"--")</f>
        <v>--</v>
      </c>
      <c r="AD25" s="93" t="str">
        <f ca="1">IF(O25&lt;=$N$17,(AA25*$M$20^2),"--")</f>
        <v>--</v>
      </c>
      <c r="AE25" s="93" t="str">
        <f ca="1">IF(O25&lt;=$N$17,(AB25+AC25),"---")</f>
        <v>---</v>
      </c>
      <c r="AF25" s="93" t="str">
        <f ca="1">IF(O25&lt;=$N$17,(AB25+AD25),"---")</f>
        <v>---</v>
      </c>
      <c r="AG25" s="292" t="str">
        <f ca="1">IF(O25&lt;=$N$17,VLOOKUP(Q25&amp;"-D",ParamPiterflow,2,FALSE),"---")</f>
        <v>---</v>
      </c>
      <c r="AH25" s="292" t="str">
        <f ca="1">IF(O25&lt;=$N$17,VLOOKUP(Q25&amp;"-C1",ParamPiterflow,2,FALSE),"---")</f>
        <v>---</v>
      </c>
      <c r="AI25" s="292" t="str">
        <f ca="1">IF(O25&lt;=$N$17,VLOOKUP(Q25&amp;"-B1",ParamPiterflow,2,FALSE),"---")</f>
        <v>---</v>
      </c>
      <c r="AJ25" s="292" t="str">
        <f ca="1">IF(O25&lt;=$N$17,VLOOKUP(Q25&amp;"-D",ParamPiterflow,4,FALSE),"---")</f>
        <v>---</v>
      </c>
      <c r="AK25" s="293" t="str">
        <f t="shared" ref="AK25:AM26" ca="1" si="54">IF($O25&lt;=$N$17,AND(AG25&lt;$M$21,$AJ25&gt;$M$20),"---")</f>
        <v>---</v>
      </c>
      <c r="AL25" s="293" t="str">
        <f t="shared" ca="1" si="54"/>
        <v>---</v>
      </c>
      <c r="AM25" s="293" t="str">
        <f t="shared" ca="1" si="54"/>
        <v>---</v>
      </c>
      <c r="AN25" s="294" t="str">
        <f ca="1">IF($O25&lt;=$N$17,IF(AK25,"D",IF(AL25,"C1",IF(AM25,"B1","НЕТ"))),"---")</f>
        <v>---</v>
      </c>
      <c r="AO25" s="294" t="str">
        <f t="shared" ca="1" si="52"/>
        <v>---</v>
      </c>
      <c r="AP25" s="294" t="str">
        <f t="shared" ca="1" si="53"/>
        <v>---</v>
      </c>
      <c r="AS25" s="41"/>
      <c r="AT25" s="259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2:55" ht="25" customHeight="1" thickBot="1" x14ac:dyDescent="0.35">
      <c r="B26" s="800" t="s">
        <v>447</v>
      </c>
      <c r="C26" s="801"/>
      <c r="D26" s="801"/>
      <c r="E26" s="833"/>
      <c r="F26" s="831" t="s">
        <v>449</v>
      </c>
      <c r="G26" s="845"/>
      <c r="H26" s="846"/>
      <c r="O26" s="88">
        <v>10</v>
      </c>
      <c r="P26" s="93" t="str">
        <f ca="1">IF(O26&lt;=$N$17,OFFSET(DyTr_New,$P$15-2+O26,4,1),"---")</f>
        <v>---</v>
      </c>
      <c r="Q26" s="93" t="str">
        <f ca="1">IF(O26&lt;=$N$17,OFFSET(DyTr_New,$P$15-2+O26,2,1),"---")</f>
        <v>---</v>
      </c>
      <c r="R26" s="93" t="str">
        <f ca="1">IF(O26&lt;=$N$17,OFFSET(DyTr_New,$P$15-2+O26,5,1),"---")</f>
        <v>---</v>
      </c>
      <c r="S26" s="93" t="str">
        <f ca="1">IF(O26&lt;=$N$17,OFFSET(DyTr_New,$P$15-2+O26,6,1),"---")</f>
        <v>---</v>
      </c>
      <c r="T26" s="93" t="str">
        <f ca="1">IF(O26&lt;=$N$17,($M$20/3.6)/((PI()*R26^2)/4000),"---")</f>
        <v>---</v>
      </c>
      <c r="U26" s="289" t="str">
        <f ca="1">IF(O26&lt;=$N$17,(T26*R26/$M$22/1000),"---")</f>
        <v>---</v>
      </c>
      <c r="V26" s="289" t="str">
        <f ca="1">IF(O26&lt;=$N$4,(1/(1.14+2*LOG((R26/$M$4),10))^2),"---")</f>
        <v>---</v>
      </c>
      <c r="W26" s="93" t="str">
        <f ca="1">IF(O26&lt;=$N$17,(IF(S26=0,0,(V26/(8*SIN(RADIANS(S26/2))))*(1-(R26/$M$19)^4))),"---")</f>
        <v>---</v>
      </c>
      <c r="X26" s="93" t="str">
        <f ca="1">IF(O26&lt;=$N$17,(3.2*TAN(RADIANS(S26/2))^1.25*(1-(R26/$M$19)^2)^2),"---")</f>
        <v>---</v>
      </c>
      <c r="Y26" s="93" t="str">
        <f ca="1">IF(O26&lt;=$N$17,(IF(S26=0,0,V26/(8*SIN(RADIANS(S26/2)))*(1-(R26/$M$19)^4))),"---")</f>
        <v>---</v>
      </c>
      <c r="Z26" s="290" t="str">
        <f ca="1">IF(O26&lt;=$N$17,VLOOKUP(Q26&amp;"-Сэндвич",TypePFlow,3,FALSE),"---")</f>
        <v>---</v>
      </c>
      <c r="AA26" s="290" t="str">
        <f ca="1">IF(O26&lt;=$N$17,VLOOKUP(Q26&amp;"-Фланец",TypePFlow,3,FALSE),"---")</f>
        <v>---</v>
      </c>
      <c r="AB26" s="93" t="str">
        <f ca="1">IF(O26&lt;=$N$17,(V26*4+W26+X26+Y26)*T26^2/(2*9.81),"--")</f>
        <v>--</v>
      </c>
      <c r="AC26" s="291" t="str">
        <f ca="1">IF(O26&lt;=$N$17,(Z26*$M$20^2),"--")</f>
        <v>--</v>
      </c>
      <c r="AD26" s="93" t="str">
        <f ca="1">IF(O26&lt;=$N$17,(AA26*$M$20^2),"--")</f>
        <v>--</v>
      </c>
      <c r="AE26" s="93" t="str">
        <f ca="1">IF(O26&lt;=$N$17,(AB26+AC26),"---")</f>
        <v>---</v>
      </c>
      <c r="AF26" s="93" t="str">
        <f ca="1">IF(O26&lt;=$N$17,(AB26+AD26),"---")</f>
        <v>---</v>
      </c>
      <c r="AG26" s="292" t="str">
        <f ca="1">IF(O26&lt;=$N$17,VLOOKUP(Q26&amp;"-D",ParamPiterflow,2,FALSE),"---")</f>
        <v>---</v>
      </c>
      <c r="AH26" s="292" t="str">
        <f ca="1">IF(O26&lt;=$N$17,VLOOKUP(Q26&amp;"-C1",ParamPiterflow,2,FALSE),"---")</f>
        <v>---</v>
      </c>
      <c r="AI26" s="292" t="str">
        <f ca="1">IF(O26&lt;=$N$17,VLOOKUP(Q26&amp;"-B1",ParamPiterflow,2,FALSE),"---")</f>
        <v>---</v>
      </c>
      <c r="AJ26" s="292" t="str">
        <f ca="1">IF(O26&lt;=$N$17,VLOOKUP(Q26&amp;"-D",ParamPiterflow,4,FALSE),"---")</f>
        <v>---</v>
      </c>
      <c r="AK26" s="293" t="str">
        <f t="shared" ca="1" si="54"/>
        <v>---</v>
      </c>
      <c r="AL26" s="293" t="str">
        <f t="shared" ca="1" si="54"/>
        <v>---</v>
      </c>
      <c r="AM26" s="293" t="str">
        <f t="shared" ca="1" si="54"/>
        <v>---</v>
      </c>
      <c r="AN26" s="294" t="str">
        <f ca="1">IF($O26&lt;=$N$17,IF(AK26,"D",IF(AL26,"C1",IF(AM26,"B1","НЕТ"))),"---")</f>
        <v>---</v>
      </c>
      <c r="AO26" s="294" t="str">
        <f t="shared" ca="1" si="52"/>
        <v>---</v>
      </c>
      <c r="AP26" s="294" t="str">
        <f t="shared" ca="1" si="53"/>
        <v>---</v>
      </c>
      <c r="AT26" s="259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2:55" ht="18" customHeight="1" thickBot="1" x14ac:dyDescent="0.35">
      <c r="AT27" s="91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2:55" ht="25" customHeight="1" thickBot="1" x14ac:dyDescent="0.45">
      <c r="B28" s="800" t="s">
        <v>17</v>
      </c>
      <c r="C28" s="801"/>
      <c r="D28" s="801"/>
      <c r="E28" s="122"/>
      <c r="F28" s="122"/>
      <c r="G28" s="122"/>
      <c r="H28" s="121"/>
      <c r="Z28" s="322"/>
      <c r="AA28" s="322"/>
      <c r="AN28" s="41"/>
      <c r="AO28" s="41"/>
      <c r="AP28" s="39"/>
      <c r="AQ28" s="39"/>
      <c r="AR28" s="39"/>
      <c r="AS28" s="39"/>
      <c r="AT28" s="104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2:55" ht="18" customHeight="1" thickBot="1" x14ac:dyDescent="0.45">
      <c r="D29" s="811" t="s">
        <v>43</v>
      </c>
      <c r="E29" s="812"/>
      <c r="F29" s="324"/>
      <c r="G29" s="848" t="s">
        <v>42</v>
      </c>
      <c r="H29" s="849"/>
      <c r="I29" s="8"/>
      <c r="N29" s="262"/>
      <c r="O29" s="263" t="s">
        <v>406</v>
      </c>
      <c r="P29" s="264">
        <f>MATCH(M33,DyTr_New,0)</f>
        <v>16</v>
      </c>
      <c r="Q29" s="265">
        <f ca="1">MATCH(TRUE,AO31:AO40,0)</f>
        <v>2</v>
      </c>
      <c r="R29" s="266" t="s">
        <v>103</v>
      </c>
      <c r="S29" s="267"/>
      <c r="U29" s="268">
        <f ca="1">MATCH(TRUE,AO31:AO40,0)</f>
        <v>2</v>
      </c>
      <c r="V29" s="269" t="s">
        <v>407</v>
      </c>
      <c r="W29" s="270"/>
      <c r="X29" s="270"/>
      <c r="Y29" s="270"/>
      <c r="Z29" s="838" t="s">
        <v>206</v>
      </c>
      <c r="AA29" s="838"/>
      <c r="AB29" s="258"/>
      <c r="AG29" s="826" t="s">
        <v>75</v>
      </c>
      <c r="AH29" s="826"/>
      <c r="AI29" s="826"/>
      <c r="AJ29" s="271" t="s">
        <v>66</v>
      </c>
      <c r="AK29" s="810" t="s">
        <v>65</v>
      </c>
      <c r="AL29" s="810"/>
      <c r="AM29" s="810"/>
      <c r="AN29" s="272"/>
      <c r="AO29" s="273">
        <f ca="1">MATCH(TRUE,AO31:AO40,0)</f>
        <v>2</v>
      </c>
      <c r="AP29" s="273">
        <f ca="1">MATCH(TRUE,AP31:AP40,0)</f>
        <v>2</v>
      </c>
      <c r="AQ29" s="802" t="s">
        <v>69</v>
      </c>
      <c r="AR29" s="803"/>
      <c r="AS29" s="259"/>
      <c r="AT29" s="259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2:55" ht="18" customHeight="1" thickBot="1" x14ac:dyDescent="0.45">
      <c r="B30" s="821" t="s">
        <v>68</v>
      </c>
      <c r="C30" s="822"/>
      <c r="D30" s="804">
        <v>0.5</v>
      </c>
      <c r="E30" s="805"/>
      <c r="F30" s="748"/>
      <c r="G30" s="841">
        <v>0.2</v>
      </c>
      <c r="H30" s="847"/>
      <c r="I30" s="56"/>
      <c r="L30" s="277" t="s">
        <v>77</v>
      </c>
      <c r="M30" s="278" t="s">
        <v>90</v>
      </c>
      <c r="N30" s="279" t="s">
        <v>97</v>
      </c>
      <c r="O30" s="88"/>
      <c r="P30" s="280" t="s">
        <v>93</v>
      </c>
      <c r="Q30" s="280" t="s">
        <v>92</v>
      </c>
      <c r="R30" s="280" t="s">
        <v>408</v>
      </c>
      <c r="S30" s="66" t="s">
        <v>61</v>
      </c>
      <c r="T30" s="280" t="s">
        <v>18</v>
      </c>
      <c r="U30" s="63" t="s">
        <v>20</v>
      </c>
      <c r="V30" s="62" t="s">
        <v>21</v>
      </c>
      <c r="W30" s="63" t="s">
        <v>62</v>
      </c>
      <c r="X30" s="64" t="s">
        <v>63</v>
      </c>
      <c r="Y30" s="64" t="s">
        <v>64</v>
      </c>
      <c r="Z30" s="117" t="s">
        <v>204</v>
      </c>
      <c r="AA30" s="117" t="s">
        <v>205</v>
      </c>
      <c r="AB30" s="63" t="s">
        <v>227</v>
      </c>
      <c r="AC30" s="63" t="s">
        <v>225</v>
      </c>
      <c r="AD30" s="63" t="s">
        <v>226</v>
      </c>
      <c r="AE30" s="63" t="s">
        <v>228</v>
      </c>
      <c r="AF30" s="63" t="s">
        <v>229</v>
      </c>
      <c r="AG30" s="281" t="s">
        <v>351</v>
      </c>
      <c r="AH30" s="281" t="s">
        <v>352</v>
      </c>
      <c r="AI30" s="281" t="s">
        <v>353</v>
      </c>
      <c r="AJ30" s="281"/>
      <c r="AK30" s="281" t="s">
        <v>351</v>
      </c>
      <c r="AL30" s="281" t="s">
        <v>352</v>
      </c>
      <c r="AM30" s="281" t="s">
        <v>353</v>
      </c>
      <c r="AN30" s="281" t="s">
        <v>67</v>
      </c>
      <c r="AO30" s="281" t="s">
        <v>230</v>
      </c>
      <c r="AP30" s="281" t="s">
        <v>231</v>
      </c>
      <c r="AQ30" s="282" t="s">
        <v>409</v>
      </c>
      <c r="AR30" s="283" t="str">
        <f ca="1">IF(ISERROR(AO29),IF(ISERROR(AP29),"НЕТ",OFFSET(Q31,AP29-1,0,1)&amp;"-"&amp;OFFSET(AN31,AP29-1,0,1)&amp;"-Фланец"),OFFSET(Q31,AO29-1,0,1)&amp;"-"&amp;OFFSET(AN31,AO29-1,0,1)&amp;"-Cэндвич")</f>
        <v>ПРЭМ-20-D-Cэндвич</v>
      </c>
      <c r="AT30" s="284" t="str">
        <f ca="1">IF(ISERROR(AO29),IF(ISERROR(AP29),"НЕТ",OFFSET(Q31,AP29-1,0,1)&amp;"-"&amp;OFFSET(AN31,AP29-1,0,1)),OFFSET(Q31,AO29-1,0,1)&amp;"-"&amp;OFFSET(AN31,AO29-1,0,1))</f>
        <v>ПРЭМ-20-D</v>
      </c>
      <c r="AU30" s="46"/>
      <c r="AV30" s="46"/>
      <c r="AW30" s="46"/>
      <c r="AX30" s="46"/>
      <c r="AY30" s="46"/>
      <c r="AZ30" s="46"/>
      <c r="BA30" s="46"/>
      <c r="BB30" s="46"/>
      <c r="BC30" s="46"/>
    </row>
    <row r="31" spans="2:55" ht="18" customHeight="1" thickBot="1" x14ac:dyDescent="0.45">
      <c r="B31" s="821" t="s">
        <v>31</v>
      </c>
      <c r="C31" s="822"/>
      <c r="D31" s="804" t="s">
        <v>36</v>
      </c>
      <c r="E31" s="805"/>
      <c r="F31" s="327"/>
      <c r="G31" s="804" t="s">
        <v>60</v>
      </c>
      <c r="H31" s="805"/>
      <c r="I31" s="8"/>
      <c r="L31" s="287" t="s">
        <v>74</v>
      </c>
      <c r="M31" s="288">
        <v>0.5</v>
      </c>
      <c r="N31" s="88">
        <f ca="1">OFFSET(DyTr_New,P29-1,1,1)</f>
        <v>6</v>
      </c>
      <c r="O31" s="88">
        <v>1</v>
      </c>
      <c r="P31" s="93" t="str">
        <f t="shared" ref="P31:P40" ca="1" si="55">IF(O31&lt;=$N$31,OFFSET(DyTr_New,$P$29-2+O31,4,1),"---")</f>
        <v>15-50</v>
      </c>
      <c r="Q31" s="93" t="str">
        <f t="shared" ref="Q31:Q40" ca="1" si="56">IF(O31&lt;=$N$31,OFFSET(DyTr_New,$P$29-2+O31,2,1),"---")</f>
        <v>ПРЭМ-15</v>
      </c>
      <c r="R31" s="93">
        <f t="shared" ref="R31:R40" ca="1" si="57">IF(O31&lt;=$N$31,OFFSET(DyTr_New,$P$29-2+O31,5,1),"---")</f>
        <v>15</v>
      </c>
      <c r="S31" s="93" t="str">
        <f t="shared" ref="S31:S40" ca="1" si="58">IF(O31&lt;=$N$31,OFFSET(DyTr_New,$P$29-2+O31,6,1),"---")</f>
        <v>30,14</v>
      </c>
      <c r="T31" s="93">
        <f ca="1">IF(O31&lt;=$N$31,($M$34/3.6)/((PI()*R31^2)/4000),"---")</f>
        <v>4.6042571227748814</v>
      </c>
      <c r="U31" s="289">
        <f ca="1">IF(O31&lt;=$N$31,(T31*R31/$M$36/1000),"---")</f>
        <v>185099.86631745438</v>
      </c>
      <c r="V31" s="289">
        <f ca="1">IF(O31&lt;=$N$31,(1/(1.14+2*LOG((R31/$M$31),10))^2),"---")</f>
        <v>5.9655827422120798E-2</v>
      </c>
      <c r="W31" s="93">
        <f ca="1">IF(O31&lt;=$N$31,(IF(S31=0,0,(V31/(8*SIN(RADIANS(S31/2))))*(1-(R31/$M$33)^4))),"---")</f>
        <v>2.8448487298016373E-2</v>
      </c>
      <c r="X31" s="93">
        <f ca="1">IF(O31&lt;=$N$31,(3.2*TAN(RADIANS(S31/2))^1.25*(1-(R31/$M$33)^2)^2),"---")</f>
        <v>0.51397936922726728</v>
      </c>
      <c r="Y31" s="93">
        <f ca="1">IF(O31&lt;=$N$31,(IF(S31=0,0,V31/(8*SIN(RADIANS(S31/2)))*(1-(R31/$M$33)^4))),"---")</f>
        <v>2.8448487298016373E-2</v>
      </c>
      <c r="Z31" s="290">
        <f t="shared" ref="Z31:Z40" ca="1" si="59">IF(O31&lt;=$N$31,VLOOKUP(Q31&amp;"-Сэндвич",TypePFlow,3,FALSE),"---")</f>
        <v>0</v>
      </c>
      <c r="AA31" s="290">
        <f t="shared" ref="AA31:AA40" ca="1" si="60">IF(O31&lt;=$N$31,VLOOKUP(Q31&amp;"-Фланец",TypePFlow,3,FALSE),"---")</f>
        <v>0</v>
      </c>
      <c r="AB31" s="93">
        <f t="shared" ref="AB31:AB40" ca="1" si="61">IF(O31&lt;=$N$31,(V31*4+W31+X31+Y31)*T31^2/(2*9.81),"--")</f>
        <v>0.87465503677528866</v>
      </c>
      <c r="AC31" s="291">
        <f t="shared" ref="AC31:AC40" ca="1" si="62">IF(O31&lt;=$N$31,(Z31*$M$34^2),"--")</f>
        <v>0</v>
      </c>
      <c r="AD31" s="93">
        <f t="shared" ref="AD31:AD40" ca="1" si="63">IF(O31&lt;=$N$31,(AA31*$M$34^2),"--")</f>
        <v>0</v>
      </c>
      <c r="AE31" s="93">
        <f t="shared" ref="AE31:AE40" ca="1" si="64">IF(O31&lt;=$N$31,(AB31+AC31),"---")</f>
        <v>0.87465503677528866</v>
      </c>
      <c r="AF31" s="93">
        <f t="shared" ref="AF31:AF40" ca="1" si="65">IF(O31&lt;=$N$31,(AB31+AD31),"---")</f>
        <v>0.87465503677528866</v>
      </c>
      <c r="AG31" s="292">
        <f t="shared" ref="AG31:AG40" ca="1" si="66">IF(O31&lt;=$N$31,VLOOKUP(Q31&amp;"-D",ParamPiterflow,2,FALSE),"---")</f>
        <v>0.04</v>
      </c>
      <c r="AH31" s="292">
        <f t="shared" ref="AH31:AH40" ca="1" si="67">IF(O31&lt;=$N$31,VLOOKUP(Q31&amp;"-C1",ParamPiterflow,2,FALSE),"---")</f>
        <v>2.4E-2</v>
      </c>
      <c r="AI31" s="292">
        <f t="shared" ref="AI31:AI40" ca="1" si="68">IF(O31&lt;=$N$31,VLOOKUP(Q31&amp;"-B1",ParamPiterflow,2,FALSE),"---")</f>
        <v>1.2999999999999999E-2</v>
      </c>
      <c r="AJ31" s="292">
        <f t="shared" ref="AJ31:AJ40" ca="1" si="69">IF(O31&lt;=$N$31,VLOOKUP(Q31&amp;"-D",ParamPiterflow,4,FALSE),"---")</f>
        <v>6</v>
      </c>
      <c r="AK31" s="293" t="b">
        <f t="shared" ref="AK31:AK40" ca="1" si="70">IF($O31&lt;=$N$31,AND(AG31&lt;$M$35,$AJ31&gt;$M$34),"---")</f>
        <v>1</v>
      </c>
      <c r="AL31" s="293" t="b">
        <f t="shared" ref="AL31:AL40" ca="1" si="71">IF($O31&lt;=$N$31,AND(AH31&lt;$M$35,$AJ31&gt;$M$34),"---")</f>
        <v>1</v>
      </c>
      <c r="AM31" s="293" t="b">
        <f t="shared" ref="AM31:AM40" ca="1" si="72">IF($O31&lt;=$N$31,AND(AI31&lt;$M$35,$AJ31&gt;$M$34),"---")</f>
        <v>1</v>
      </c>
      <c r="AN31" s="294" t="str">
        <f ca="1">IF($O31&lt;=$N$31,IF(AK31,"D",IF(AL31,"C1",IF(AM31,"B1","НЕТ"))),"---")</f>
        <v>D</v>
      </c>
      <c r="AO31" s="294" t="b">
        <f ca="1">IF($O31&lt;=$N$31,AND(AE31&lt;$M$32,NOT(AN31="НЕТ"),IF($F$26="Экономный",T31&lt;=3,IF(AND($F$26="Оптимальный",T31&gt;$G$51),T31&lt;=1.8,IF(AND($F$26="Затратный",T31&gt;$G$51),T31&lt;=1,T31&lt;=3)))),"---")</f>
        <v>0</v>
      </c>
      <c r="AP31" s="294" t="b">
        <f ca="1">IF($O31&lt;=$N$31,AND(AF31&lt;$M$32,NOT(AN31="НЕТ"),IF($F$26="Экономный",T31&lt;=3,IF(AND($F$26="Оптимальный",T31&gt;$G$51),T31&lt;=1.8,IF(AND($F$26="Затратный",T31&gt;$G$51),T31&lt;=1,T31&lt;=3)))),"---")</f>
        <v>0</v>
      </c>
      <c r="AQ31" s="295"/>
      <c r="AR31" s="296"/>
      <c r="AS31" s="259"/>
      <c r="AT31" s="259">
        <f ca="1">IF(ISERROR(AO29),IF(ISERROR(AP29),"НЕТ",AP29),AO29)</f>
        <v>2</v>
      </c>
      <c r="AU31" s="50"/>
      <c r="AV31" s="50"/>
      <c r="AW31" s="50"/>
      <c r="AX31" s="50"/>
      <c r="AY31" s="50"/>
      <c r="AZ31" s="50"/>
      <c r="BA31" s="50"/>
      <c r="BB31" s="50"/>
      <c r="BC31" s="50"/>
    </row>
    <row r="32" spans="2:55" ht="18" customHeight="1" x14ac:dyDescent="0.4">
      <c r="B32" s="821" t="s">
        <v>23</v>
      </c>
      <c r="C32" s="822"/>
      <c r="D32" s="94">
        <v>0.5</v>
      </c>
      <c r="E32" s="94">
        <v>0.5</v>
      </c>
      <c r="F32" s="328"/>
      <c r="G32" s="94">
        <v>0.5</v>
      </c>
      <c r="H32" s="94">
        <v>0.5</v>
      </c>
      <c r="I32" s="329"/>
      <c r="L32" s="297" t="s">
        <v>189</v>
      </c>
      <c r="M32" s="298">
        <f>G32</f>
        <v>0.5</v>
      </c>
      <c r="N32" s="88"/>
      <c r="O32" s="88">
        <v>2</v>
      </c>
      <c r="P32" s="93" t="str">
        <f t="shared" ca="1" si="55"/>
        <v>20-50</v>
      </c>
      <c r="Q32" s="93" t="str">
        <f t="shared" ca="1" si="56"/>
        <v>ПРЭМ-20</v>
      </c>
      <c r="R32" s="93">
        <f t="shared" ca="1" si="57"/>
        <v>20</v>
      </c>
      <c r="S32" s="93" t="str">
        <f t="shared" ca="1" si="58"/>
        <v>46,4</v>
      </c>
      <c r="T32" s="93">
        <f t="shared" ref="T32:T40" ca="1" si="73">IF(O32&lt;=$N$31,($M$34/3.6)/((PI()*R32^2)/4000),"---")</f>
        <v>2.5898946315608709</v>
      </c>
      <c r="U32" s="289">
        <f t="shared" ref="U32:U40" ca="1" si="74">IF(O32&lt;=$N$31,(T32*R32/$M$36/1000),"---")</f>
        <v>138824.89973809078</v>
      </c>
      <c r="V32" s="289">
        <f t="shared" ref="V32:V40" ca="1" si="75">IF(O32&lt;=$N$31,(1/(1.14+2*LOG((R32/$M$31),10))^2),"---")</f>
        <v>5.2990299783484442E-2</v>
      </c>
      <c r="W32" s="93">
        <f t="shared" ref="W32:W40" ca="1" si="76">IF(O32&lt;=$N$31,(IF(S32=0,0,(V32/(8*SIN(RADIANS(S32/2))))*(1-(R32/$M$33)^4))),"---")</f>
        <v>1.6383680833374978E-2</v>
      </c>
      <c r="X32" s="93">
        <f t="shared" ref="X32:X40" ca="1" si="77">IF(O32&lt;=$N$31,(3.2*TAN(RADIANS(S32/2))^1.25*(1-(R32/$M$33)^2)^2),"---")</f>
        <v>0.78302287976523621</v>
      </c>
      <c r="Y32" s="93">
        <f t="shared" ref="Y32:Y40" ca="1" si="78">IF(O32&lt;=$N$31,(IF(S32=0,0,V32/(8*SIN(RADIANS(S32/2)))*(1-(R32/$M$33)^4))),"---")</f>
        <v>1.6383680833374978E-2</v>
      </c>
      <c r="Z32" s="290">
        <f t="shared" ca="1" si="59"/>
        <v>0</v>
      </c>
      <c r="AA32" s="290">
        <f t="shared" ca="1" si="60"/>
        <v>0</v>
      </c>
      <c r="AB32" s="93">
        <f t="shared" ca="1" si="61"/>
        <v>0.35136077953025729</v>
      </c>
      <c r="AC32" s="291">
        <f t="shared" ca="1" si="62"/>
        <v>0</v>
      </c>
      <c r="AD32" s="93">
        <f t="shared" ca="1" si="63"/>
        <v>0</v>
      </c>
      <c r="AE32" s="93">
        <f t="shared" ca="1" si="64"/>
        <v>0.35136077953025729</v>
      </c>
      <c r="AF32" s="93">
        <f t="shared" ca="1" si="65"/>
        <v>0.35136077953025729</v>
      </c>
      <c r="AG32" s="292">
        <f t="shared" ca="1" si="66"/>
        <v>0.08</v>
      </c>
      <c r="AH32" s="292">
        <f t="shared" ca="1" si="67"/>
        <v>4.8000000000000001E-2</v>
      </c>
      <c r="AI32" s="292">
        <f t="shared" ca="1" si="68"/>
        <v>2.7E-2</v>
      </c>
      <c r="AJ32" s="292">
        <f t="shared" ca="1" si="69"/>
        <v>12</v>
      </c>
      <c r="AK32" s="293" t="b">
        <f t="shared" ca="1" si="70"/>
        <v>1</v>
      </c>
      <c r="AL32" s="293" t="b">
        <f t="shared" ca="1" si="71"/>
        <v>1</v>
      </c>
      <c r="AM32" s="293" t="b">
        <f t="shared" ca="1" si="72"/>
        <v>1</v>
      </c>
      <c r="AN32" s="294" t="str">
        <f t="shared" ref="AN32:AN40" ca="1" si="79">IF($O32&lt;=$N$31,IF(AK32,"D",IF(AL32,"C1",IF(AM32,"B1","НЕТ"))),"---")</f>
        <v>D</v>
      </c>
      <c r="AO32" s="294" t="b">
        <f t="shared" ref="AO32:AO40" ca="1" si="80">IF($O32&lt;=$N$31,AND(AE32&lt;$M$32,NOT(AN32="НЕТ"),IF($F$26="Экономный",T32&lt;=3,IF(AND($F$26="Оптимальный",T32&gt;$G$51),T32&lt;=1.8,IF(AND($F$26="Затратный",T32&gt;$G$51),T32&lt;=1,T32&lt;=3)))),"---")</f>
        <v>1</v>
      </c>
      <c r="AP32" s="294" t="b">
        <f t="shared" ref="AP32:AP40" ca="1" si="81">IF($O32&lt;=$N$31,AND(AF32&lt;$M$32,NOT(AN32="НЕТ"),IF($F$26="Экономный",T32&lt;=3,IF(AND($F$26="Оптимальный",T32&gt;$G$51),T32&lt;=1.8,IF(AND($F$26="Затратный",T32&gt;$G$51),T32&lt;=1,T32&lt;=3)))),"---")</f>
        <v>1</v>
      </c>
      <c r="AQ32" s="299" t="s">
        <v>18</v>
      </c>
      <c r="AR32" s="300">
        <f ca="1">OFFSET(T31,IF(ISERROR(AO29),IF(ISERROR(AP29),"НЕТ",AP29),AO29)-1,0,1)</f>
        <v>2.5898946315608709</v>
      </c>
      <c r="AS32" s="259"/>
      <c r="AT32" s="259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2:55" ht="18" customHeight="1" x14ac:dyDescent="0.4">
      <c r="B33" s="821" t="s">
        <v>412</v>
      </c>
      <c r="C33" s="822"/>
      <c r="D33" s="15">
        <v>80</v>
      </c>
      <c r="E33" s="15">
        <v>80</v>
      </c>
      <c r="F33" s="381"/>
      <c r="G33" s="15">
        <v>50</v>
      </c>
      <c r="H33" s="15">
        <v>50</v>
      </c>
      <c r="I33" s="8"/>
      <c r="L33" s="302" t="s">
        <v>410</v>
      </c>
      <c r="M33" s="303">
        <f>$G$33</f>
        <v>50</v>
      </c>
      <c r="N33" s="88"/>
      <c r="O33" s="88">
        <v>3</v>
      </c>
      <c r="P33" s="93" t="str">
        <f t="shared" ca="1" si="55"/>
        <v>25-50</v>
      </c>
      <c r="Q33" s="93" t="str">
        <f t="shared" ca="1" si="56"/>
        <v>ПРЭМ-25</v>
      </c>
      <c r="R33" s="93">
        <f t="shared" ca="1" si="57"/>
        <v>25</v>
      </c>
      <c r="S33" s="93" t="str">
        <f t="shared" ca="1" si="58"/>
        <v>39,3</v>
      </c>
      <c r="T33" s="93">
        <f t="shared" ca="1" si="73"/>
        <v>1.6575325641989573</v>
      </c>
      <c r="U33" s="289">
        <f t="shared" ca="1" si="74"/>
        <v>111059.91979047263</v>
      </c>
      <c r="V33" s="289">
        <f t="shared" ca="1" si="75"/>
        <v>4.8560427292756572E-2</v>
      </c>
      <c r="W33" s="93">
        <f t="shared" ca="1" si="76"/>
        <v>1.6922755912707779E-2</v>
      </c>
      <c r="X33" s="93">
        <f t="shared" ca="1" si="77"/>
        <v>0.49683315067415684</v>
      </c>
      <c r="Y33" s="93">
        <f t="shared" ca="1" si="78"/>
        <v>1.6922755912707779E-2</v>
      </c>
      <c r="Z33" s="290">
        <f t="shared" ca="1" si="59"/>
        <v>0</v>
      </c>
      <c r="AA33" s="290">
        <f t="shared" ca="1" si="60"/>
        <v>0</v>
      </c>
      <c r="AB33" s="93">
        <f t="shared" ca="1" si="61"/>
        <v>0.10151154556561921</v>
      </c>
      <c r="AC33" s="291">
        <f t="shared" ca="1" si="62"/>
        <v>0</v>
      </c>
      <c r="AD33" s="93">
        <f t="shared" ca="1" si="63"/>
        <v>0</v>
      </c>
      <c r="AE33" s="93">
        <f t="shared" ca="1" si="64"/>
        <v>0.10151154556561921</v>
      </c>
      <c r="AF33" s="93">
        <f t="shared" ca="1" si="65"/>
        <v>0.10151154556561921</v>
      </c>
      <c r="AG33" s="292">
        <f t="shared" ca="1" si="66"/>
        <v>0.12</v>
      </c>
      <c r="AH33" s="292">
        <f t="shared" ca="1" si="67"/>
        <v>7.1999999999999995E-2</v>
      </c>
      <c r="AI33" s="292">
        <f t="shared" ca="1" si="68"/>
        <v>0.04</v>
      </c>
      <c r="AJ33" s="292">
        <f t="shared" ca="1" si="69"/>
        <v>18</v>
      </c>
      <c r="AK33" s="293" t="b">
        <f t="shared" ca="1" si="70"/>
        <v>0</v>
      </c>
      <c r="AL33" s="293" t="b">
        <f t="shared" ca="1" si="71"/>
        <v>1</v>
      </c>
      <c r="AM33" s="293" t="b">
        <f t="shared" ca="1" si="72"/>
        <v>1</v>
      </c>
      <c r="AN33" s="294" t="str">
        <f t="shared" ca="1" si="79"/>
        <v>C1</v>
      </c>
      <c r="AO33" s="294" t="b">
        <f t="shared" ca="1" si="80"/>
        <v>1</v>
      </c>
      <c r="AP33" s="294" t="b">
        <f t="shared" ca="1" si="81"/>
        <v>1</v>
      </c>
      <c r="AQ33" s="65" t="s">
        <v>22</v>
      </c>
      <c r="AR33" s="300">
        <f ca="1">IF(ISERROR(AO29),IF(ISERROR(AP29),"НЕТ",OFFSET(AF31,AP29-1,0,1)),OFFSET(AE31,AO29-1,0,1))</f>
        <v>0.35136077953025729</v>
      </c>
      <c r="AS33" s="304"/>
      <c r="AT33" s="91">
        <f ca="1">IF(ISERROR(AO29),IF(ISERROR(AP29),"НЕТ",OFFSET(AF31,AP29-1,0,1)),OFFSET(AE31,AO29-1,0,1))</f>
        <v>0.35136077953025729</v>
      </c>
      <c r="AU33" s="51"/>
      <c r="AV33" s="51"/>
      <c r="AW33" s="51"/>
      <c r="AX33" s="51"/>
      <c r="AY33" s="51"/>
      <c r="AZ33" s="51"/>
      <c r="BA33" s="51"/>
      <c r="BB33" s="51"/>
      <c r="BC33" s="51"/>
    </row>
    <row r="34" spans="2:55" ht="18" customHeight="1" thickBot="1" x14ac:dyDescent="0.45">
      <c r="B34" s="817" t="s">
        <v>30</v>
      </c>
      <c r="C34" s="818"/>
      <c r="D34" s="16">
        <v>7</v>
      </c>
      <c r="E34" s="16">
        <v>5</v>
      </c>
      <c r="F34" s="381"/>
      <c r="G34" s="16">
        <v>7</v>
      </c>
      <c r="H34" s="16">
        <v>5</v>
      </c>
      <c r="I34" s="329"/>
      <c r="L34" s="305" t="s">
        <v>71</v>
      </c>
      <c r="M34" s="306">
        <f>G48</f>
        <v>2.9291018213099793</v>
      </c>
      <c r="N34" s="88"/>
      <c r="O34" s="88">
        <v>4</v>
      </c>
      <c r="P34" s="93" t="str">
        <f t="shared" ca="1" si="55"/>
        <v>32-50</v>
      </c>
      <c r="Q34" s="93" t="str">
        <f t="shared" ca="1" si="56"/>
        <v>ПРЭМ-32</v>
      </c>
      <c r="R34" s="93">
        <f t="shared" ca="1" si="57"/>
        <v>32</v>
      </c>
      <c r="S34" s="93" t="str">
        <f t="shared" ca="1" si="58"/>
        <v>28,84</v>
      </c>
      <c r="T34" s="93">
        <f t="shared" ca="1" si="73"/>
        <v>1.0116775904534652</v>
      </c>
      <c r="U34" s="289">
        <f t="shared" ca="1" si="74"/>
        <v>86765.562336306743</v>
      </c>
      <c r="V34" s="289">
        <f t="shared" ca="1" si="75"/>
        <v>4.4277322004702871E-2</v>
      </c>
      <c r="W34" s="93">
        <f t="shared" ca="1" si="76"/>
        <v>1.8496325863946641E-2</v>
      </c>
      <c r="X34" s="93">
        <f t="shared" ca="1" si="77"/>
        <v>0.20423510163470199</v>
      </c>
      <c r="Y34" s="93">
        <f t="shared" ca="1" si="78"/>
        <v>1.8496325863946641E-2</v>
      </c>
      <c r="Z34" s="290">
        <f t="shared" ca="1" si="59"/>
        <v>0</v>
      </c>
      <c r="AA34" s="290">
        <f t="shared" ca="1" si="60"/>
        <v>0</v>
      </c>
      <c r="AB34" s="93">
        <f t="shared" ca="1" si="61"/>
        <v>2.1822855538308997E-2</v>
      </c>
      <c r="AC34" s="291">
        <f t="shared" ca="1" si="62"/>
        <v>0</v>
      </c>
      <c r="AD34" s="93">
        <f t="shared" ca="1" si="63"/>
        <v>0</v>
      </c>
      <c r="AE34" s="93">
        <f t="shared" ca="1" si="64"/>
        <v>2.1822855538308997E-2</v>
      </c>
      <c r="AF34" s="93">
        <f t="shared" ca="1" si="65"/>
        <v>2.1822855538308997E-2</v>
      </c>
      <c r="AG34" s="292">
        <f t="shared" ca="1" si="66"/>
        <v>0.2</v>
      </c>
      <c r="AH34" s="292">
        <f t="shared" ca="1" si="67"/>
        <v>0.12</v>
      </c>
      <c r="AI34" s="292">
        <f t="shared" ca="1" si="68"/>
        <v>6.7000000000000004E-2</v>
      </c>
      <c r="AJ34" s="292">
        <f t="shared" ca="1" si="69"/>
        <v>30</v>
      </c>
      <c r="AK34" s="293" t="b">
        <f t="shared" ca="1" si="70"/>
        <v>0</v>
      </c>
      <c r="AL34" s="293" t="b">
        <f t="shared" ca="1" si="71"/>
        <v>0</v>
      </c>
      <c r="AM34" s="293" t="b">
        <f t="shared" ca="1" si="72"/>
        <v>1</v>
      </c>
      <c r="AN34" s="294" t="str">
        <f t="shared" ca="1" si="79"/>
        <v>B1</v>
      </c>
      <c r="AO34" s="294" t="b">
        <f t="shared" ca="1" si="80"/>
        <v>1</v>
      </c>
      <c r="AP34" s="294" t="b">
        <f t="shared" ca="1" si="81"/>
        <v>1</v>
      </c>
      <c r="AQ34" s="307"/>
      <c r="AR34" s="308"/>
      <c r="AS34" s="309"/>
      <c r="AT34" s="310"/>
      <c r="AU34" s="53"/>
      <c r="AV34" s="53"/>
      <c r="AW34" s="53"/>
      <c r="AX34" s="53"/>
      <c r="AY34" s="53"/>
      <c r="AZ34" s="53"/>
      <c r="BA34" s="53"/>
      <c r="BB34" s="53"/>
      <c r="BC34" s="41"/>
    </row>
    <row r="35" spans="2:55" ht="18" customHeight="1" thickBot="1" x14ac:dyDescent="0.45">
      <c r="I35" s="329"/>
      <c r="J35" s="69"/>
      <c r="K35" s="69"/>
      <c r="L35" s="305" t="s">
        <v>72</v>
      </c>
      <c r="M35" s="306">
        <f>G49</f>
        <v>0.11716407285239917</v>
      </c>
      <c r="N35" s="88"/>
      <c r="O35" s="88">
        <v>5</v>
      </c>
      <c r="P35" s="93" t="str">
        <f t="shared" ca="1" si="55"/>
        <v>40-50</v>
      </c>
      <c r="Q35" s="93" t="str">
        <f t="shared" ca="1" si="56"/>
        <v>ПРЭМ-40</v>
      </c>
      <c r="R35" s="93">
        <f t="shared" ca="1" si="57"/>
        <v>40</v>
      </c>
      <c r="S35" s="93" t="str">
        <f t="shared" ca="1" si="58"/>
        <v>11,42</v>
      </c>
      <c r="T35" s="93">
        <f t="shared" ca="1" si="73"/>
        <v>0.64747365789021771</v>
      </c>
      <c r="U35" s="289">
        <f t="shared" ca="1" si="74"/>
        <v>69412.449869045391</v>
      </c>
      <c r="V35" s="289">
        <f t="shared" ca="1" si="75"/>
        <v>4.0875226338606262E-2</v>
      </c>
      <c r="W35" s="93">
        <f t="shared" ca="1" si="76"/>
        <v>3.0319510161434582E-2</v>
      </c>
      <c r="X35" s="93">
        <f t="shared" ca="1" si="77"/>
        <v>2.3318371452135389E-2</v>
      </c>
      <c r="Y35" s="93">
        <f t="shared" ca="1" si="78"/>
        <v>3.0319510161434582E-2</v>
      </c>
      <c r="Z35" s="290">
        <f t="shared" ca="1" si="59"/>
        <v>0</v>
      </c>
      <c r="AA35" s="290">
        <f t="shared" ca="1" si="60"/>
        <v>0</v>
      </c>
      <c r="AB35" s="93">
        <f t="shared" ca="1" si="61"/>
        <v>5.2874615853584694E-3</v>
      </c>
      <c r="AC35" s="291">
        <f t="shared" ca="1" si="62"/>
        <v>0</v>
      </c>
      <c r="AD35" s="93">
        <f t="shared" ca="1" si="63"/>
        <v>0</v>
      </c>
      <c r="AE35" s="93">
        <f t="shared" ca="1" si="64"/>
        <v>5.2874615853584694E-3</v>
      </c>
      <c r="AF35" s="93">
        <f t="shared" ca="1" si="65"/>
        <v>5.2874615853584694E-3</v>
      </c>
      <c r="AG35" s="292">
        <f t="shared" ca="1" si="66"/>
        <v>0.3</v>
      </c>
      <c r="AH35" s="292">
        <f t="shared" ca="1" si="67"/>
        <v>0.18</v>
      </c>
      <c r="AI35" s="292">
        <f t="shared" ca="1" si="68"/>
        <v>0.1</v>
      </c>
      <c r="AJ35" s="292">
        <f t="shared" ca="1" si="69"/>
        <v>45</v>
      </c>
      <c r="AK35" s="293" t="b">
        <f t="shared" ca="1" si="70"/>
        <v>0</v>
      </c>
      <c r="AL35" s="293" t="b">
        <f t="shared" ca="1" si="71"/>
        <v>0</v>
      </c>
      <c r="AM35" s="293" t="b">
        <f t="shared" ca="1" si="72"/>
        <v>1</v>
      </c>
      <c r="AN35" s="294" t="str">
        <f t="shared" ca="1" si="79"/>
        <v>B1</v>
      </c>
      <c r="AO35" s="294" t="b">
        <f t="shared" ca="1" si="80"/>
        <v>1</v>
      </c>
      <c r="AP35" s="294" t="b">
        <f t="shared" ca="1" si="81"/>
        <v>1</v>
      </c>
      <c r="AQ35" s="311"/>
      <c r="AR35" s="312"/>
      <c r="AS35" s="313"/>
      <c r="AT35" s="314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25" customHeight="1" thickBot="1" x14ac:dyDescent="0.45">
      <c r="B36" s="800" t="s">
        <v>35</v>
      </c>
      <c r="C36" s="801"/>
      <c r="D36" s="801"/>
      <c r="E36" s="122"/>
      <c r="F36" s="122"/>
      <c r="G36" s="122"/>
      <c r="H36" s="121"/>
      <c r="I36" s="382"/>
      <c r="J36" s="69"/>
      <c r="K36" s="69"/>
      <c r="L36" s="305" t="s">
        <v>73</v>
      </c>
      <c r="M36" s="315">
        <f>G61</f>
        <v>3.7311672998820908E-7</v>
      </c>
      <c r="N36" s="88"/>
      <c r="O36" s="88">
        <v>6</v>
      </c>
      <c r="P36" s="93" t="str">
        <f t="shared" ca="1" si="55"/>
        <v>50-50</v>
      </c>
      <c r="Q36" s="93" t="str">
        <f t="shared" ca="1" si="56"/>
        <v>ПРЭМ-50</v>
      </c>
      <c r="R36" s="93">
        <f t="shared" ca="1" si="57"/>
        <v>50</v>
      </c>
      <c r="S36" s="93">
        <f t="shared" ca="1" si="58"/>
        <v>0</v>
      </c>
      <c r="T36" s="93">
        <f t="shared" ca="1" si="73"/>
        <v>0.41438314104973933</v>
      </c>
      <c r="U36" s="289">
        <f t="shared" ca="1" si="74"/>
        <v>55529.959895236316</v>
      </c>
      <c r="V36" s="289">
        <f t="shared" ca="1" si="75"/>
        <v>3.7850686611455138E-2</v>
      </c>
      <c r="W36" s="93">
        <f t="shared" ca="1" si="76"/>
        <v>0</v>
      </c>
      <c r="X36" s="93">
        <f t="shared" ca="1" si="77"/>
        <v>0</v>
      </c>
      <c r="Y36" s="93">
        <f t="shared" ca="1" si="78"/>
        <v>0</v>
      </c>
      <c r="Z36" s="290">
        <f t="shared" ca="1" si="59"/>
        <v>0</v>
      </c>
      <c r="AA36" s="290">
        <f t="shared" ca="1" si="60"/>
        <v>0</v>
      </c>
      <c r="AB36" s="93">
        <f t="shared" ca="1" si="61"/>
        <v>1.3250702590251601E-3</v>
      </c>
      <c r="AC36" s="291">
        <f t="shared" ca="1" si="62"/>
        <v>0</v>
      </c>
      <c r="AD36" s="93">
        <f t="shared" ca="1" si="63"/>
        <v>0</v>
      </c>
      <c r="AE36" s="93">
        <f t="shared" ca="1" si="64"/>
        <v>1.3250702590251601E-3</v>
      </c>
      <c r="AF36" s="93">
        <f t="shared" ca="1" si="65"/>
        <v>1.3250702590251601E-3</v>
      </c>
      <c r="AG36" s="292">
        <f t="shared" ca="1" si="66"/>
        <v>0.48</v>
      </c>
      <c r="AH36" s="292">
        <f t="shared" ca="1" si="67"/>
        <v>0.28799999999999998</v>
      </c>
      <c r="AI36" s="292">
        <f t="shared" ca="1" si="68"/>
        <v>0.16</v>
      </c>
      <c r="AJ36" s="292">
        <f t="shared" ca="1" si="69"/>
        <v>72</v>
      </c>
      <c r="AK36" s="293" t="b">
        <f t="shared" ca="1" si="70"/>
        <v>0</v>
      </c>
      <c r="AL36" s="293" t="b">
        <f t="shared" ca="1" si="71"/>
        <v>0</v>
      </c>
      <c r="AM36" s="293" t="b">
        <f t="shared" ca="1" si="72"/>
        <v>0</v>
      </c>
      <c r="AN36" s="294" t="str">
        <f t="shared" ca="1" si="79"/>
        <v>НЕТ</v>
      </c>
      <c r="AO36" s="294" t="b">
        <f t="shared" ca="1" si="80"/>
        <v>0</v>
      </c>
      <c r="AP36" s="294" t="b">
        <f t="shared" ca="1" si="81"/>
        <v>0</v>
      </c>
      <c r="AQ36" s="91"/>
      <c r="AS36" s="316"/>
      <c r="AT36" s="317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45" customHeight="1" thickBot="1" x14ac:dyDescent="0.45">
      <c r="B37" s="823" t="s">
        <v>106</v>
      </c>
      <c r="C37" s="824"/>
      <c r="D37" s="119" t="str">
        <f ca="1">AR3</f>
        <v>ПРЭМ-40-D-Cэндвич</v>
      </c>
      <c r="E37" s="120" t="str">
        <f ca="1">AR16</f>
        <v>ПРЭМ-32-D-Cэндвич</v>
      </c>
      <c r="G37" s="120" t="str">
        <f ca="1">AR30</f>
        <v>ПРЭМ-20-D-Cэндвич</v>
      </c>
      <c r="H37" s="120" t="str">
        <f ca="1">AR43</f>
        <v>ПРЭМ-20-D-Cэндвич</v>
      </c>
      <c r="I37" s="56"/>
      <c r="J37" s="69"/>
      <c r="K37" s="69"/>
      <c r="L37" s="318" t="s">
        <v>102</v>
      </c>
      <c r="M37" s="319">
        <f>(M34/3.6)/((PI()*M33^2)/4000)</f>
        <v>0.41438314104973933</v>
      </c>
      <c r="O37" s="88">
        <v>7</v>
      </c>
      <c r="P37" s="93" t="str">
        <f t="shared" ca="1" si="55"/>
        <v>---</v>
      </c>
      <c r="Q37" s="93" t="str">
        <f t="shared" ca="1" si="56"/>
        <v>---</v>
      </c>
      <c r="R37" s="93" t="str">
        <f t="shared" ca="1" si="57"/>
        <v>---</v>
      </c>
      <c r="S37" s="93" t="str">
        <f t="shared" ca="1" si="58"/>
        <v>---</v>
      </c>
      <c r="T37" s="93" t="str">
        <f t="shared" ca="1" si="73"/>
        <v>---</v>
      </c>
      <c r="U37" s="289" t="str">
        <f t="shared" ca="1" si="74"/>
        <v>---</v>
      </c>
      <c r="V37" s="289" t="str">
        <f t="shared" ca="1" si="75"/>
        <v>---</v>
      </c>
      <c r="W37" s="93" t="str">
        <f t="shared" ca="1" si="76"/>
        <v>---</v>
      </c>
      <c r="X37" s="93" t="str">
        <f t="shared" ca="1" si="77"/>
        <v>---</v>
      </c>
      <c r="Y37" s="93" t="str">
        <f t="shared" ca="1" si="78"/>
        <v>---</v>
      </c>
      <c r="Z37" s="290" t="str">
        <f t="shared" ca="1" si="59"/>
        <v>---</v>
      </c>
      <c r="AA37" s="290" t="str">
        <f t="shared" ca="1" si="60"/>
        <v>---</v>
      </c>
      <c r="AB37" s="93" t="str">
        <f t="shared" ca="1" si="61"/>
        <v>--</v>
      </c>
      <c r="AC37" s="291" t="str">
        <f t="shared" ca="1" si="62"/>
        <v>--</v>
      </c>
      <c r="AD37" s="93" t="str">
        <f t="shared" ca="1" si="63"/>
        <v>--</v>
      </c>
      <c r="AE37" s="93" t="str">
        <f t="shared" ca="1" si="64"/>
        <v>---</v>
      </c>
      <c r="AF37" s="93" t="str">
        <f t="shared" ca="1" si="65"/>
        <v>---</v>
      </c>
      <c r="AG37" s="292" t="str">
        <f t="shared" ca="1" si="66"/>
        <v>---</v>
      </c>
      <c r="AH37" s="292" t="str">
        <f t="shared" ca="1" si="67"/>
        <v>---</v>
      </c>
      <c r="AI37" s="292" t="str">
        <f t="shared" ca="1" si="68"/>
        <v>---</v>
      </c>
      <c r="AJ37" s="292" t="str">
        <f t="shared" ca="1" si="69"/>
        <v>---</v>
      </c>
      <c r="AK37" s="293" t="str">
        <f t="shared" ca="1" si="70"/>
        <v>---</v>
      </c>
      <c r="AL37" s="293" t="str">
        <f t="shared" ca="1" si="71"/>
        <v>---</v>
      </c>
      <c r="AM37" s="293" t="str">
        <f t="shared" ca="1" si="72"/>
        <v>---</v>
      </c>
      <c r="AN37" s="294" t="str">
        <f t="shared" ca="1" si="79"/>
        <v>---</v>
      </c>
      <c r="AO37" s="294" t="str">
        <f t="shared" ca="1" si="80"/>
        <v>---</v>
      </c>
      <c r="AP37" s="294" t="str">
        <f t="shared" ca="1" si="81"/>
        <v>---</v>
      </c>
      <c r="AR37" s="320"/>
      <c r="AT37" s="9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" customHeight="1" x14ac:dyDescent="0.4">
      <c r="B38" s="819" t="s">
        <v>58</v>
      </c>
      <c r="C38" s="820"/>
      <c r="D38" s="27">
        <f ca="1">VLOOKUP(AT3,ParamPiterflow,4,FALSE)</f>
        <v>45</v>
      </c>
      <c r="E38" s="28">
        <f ca="1">VLOOKUP(AT16,ParamPiterflow,4,FALSE)</f>
        <v>30</v>
      </c>
      <c r="F38" s="343"/>
      <c r="G38" s="27">
        <f ca="1">VLOOKUP(AT30,ParamPiterflow,4,FALSE)</f>
        <v>12</v>
      </c>
      <c r="H38" s="28">
        <f ca="1">VLOOKUP(AT43,ParamPiterflow,4,FALSE)</f>
        <v>12</v>
      </c>
      <c r="I38" s="382"/>
      <c r="J38" s="69"/>
      <c r="K38" s="69"/>
      <c r="O38" s="88">
        <v>8</v>
      </c>
      <c r="P38" s="93" t="str">
        <f t="shared" ca="1" si="55"/>
        <v>---</v>
      </c>
      <c r="Q38" s="93" t="str">
        <f t="shared" ca="1" si="56"/>
        <v>---</v>
      </c>
      <c r="R38" s="93" t="str">
        <f t="shared" ca="1" si="57"/>
        <v>---</v>
      </c>
      <c r="S38" s="93" t="str">
        <f t="shared" ca="1" si="58"/>
        <v>---</v>
      </c>
      <c r="T38" s="93" t="str">
        <f t="shared" ca="1" si="73"/>
        <v>---</v>
      </c>
      <c r="U38" s="289" t="str">
        <f t="shared" ca="1" si="74"/>
        <v>---</v>
      </c>
      <c r="V38" s="289" t="str">
        <f t="shared" ca="1" si="75"/>
        <v>---</v>
      </c>
      <c r="W38" s="93" t="str">
        <f t="shared" ca="1" si="76"/>
        <v>---</v>
      </c>
      <c r="X38" s="93" t="str">
        <f t="shared" ca="1" si="77"/>
        <v>---</v>
      </c>
      <c r="Y38" s="93" t="str">
        <f t="shared" ca="1" si="78"/>
        <v>---</v>
      </c>
      <c r="Z38" s="290" t="str">
        <f t="shared" ca="1" si="59"/>
        <v>---</v>
      </c>
      <c r="AA38" s="290" t="str">
        <f t="shared" ca="1" si="60"/>
        <v>---</v>
      </c>
      <c r="AB38" s="93" t="str">
        <f t="shared" ca="1" si="61"/>
        <v>--</v>
      </c>
      <c r="AC38" s="291" t="str">
        <f t="shared" ca="1" si="62"/>
        <v>--</v>
      </c>
      <c r="AD38" s="93" t="str">
        <f t="shared" ca="1" si="63"/>
        <v>--</v>
      </c>
      <c r="AE38" s="93" t="str">
        <f t="shared" ca="1" si="64"/>
        <v>---</v>
      </c>
      <c r="AF38" s="93" t="str">
        <f t="shared" ca="1" si="65"/>
        <v>---</v>
      </c>
      <c r="AG38" s="292" t="str">
        <f t="shared" ca="1" si="66"/>
        <v>---</v>
      </c>
      <c r="AH38" s="292" t="str">
        <f t="shared" ca="1" si="67"/>
        <v>---</v>
      </c>
      <c r="AI38" s="292" t="str">
        <f t="shared" ca="1" si="68"/>
        <v>---</v>
      </c>
      <c r="AJ38" s="292" t="str">
        <f t="shared" ca="1" si="69"/>
        <v>---</v>
      </c>
      <c r="AK38" s="293" t="str">
        <f t="shared" ca="1" si="70"/>
        <v>---</v>
      </c>
      <c r="AL38" s="293" t="str">
        <f t="shared" ca="1" si="71"/>
        <v>---</v>
      </c>
      <c r="AM38" s="293" t="str">
        <f t="shared" ca="1" si="72"/>
        <v>---</v>
      </c>
      <c r="AN38" s="294" t="str">
        <f t="shared" ca="1" si="79"/>
        <v>---</v>
      </c>
      <c r="AO38" s="294" t="str">
        <f t="shared" ca="1" si="80"/>
        <v>---</v>
      </c>
      <c r="AP38" s="294" t="str">
        <f t="shared" ca="1" si="81"/>
        <v>---</v>
      </c>
      <c r="AR38" s="320"/>
      <c r="AT38" s="9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9.5" customHeight="1" x14ac:dyDescent="0.4">
      <c r="B39" s="815" t="s">
        <v>233</v>
      </c>
      <c r="C39" s="816"/>
      <c r="D39" s="29">
        <f ca="1">VLOOKUP(AT3,ParamPiterflow,3,FALSE)</f>
        <v>0.45</v>
      </c>
      <c r="E39" s="30">
        <f ca="1">VLOOKUP(AT16,ParamPiterflow,3,FALSE)</f>
        <v>0.3</v>
      </c>
      <c r="F39" s="343"/>
      <c r="G39" s="29">
        <f ca="1">VLOOKUP(AT30,ParamPiterflow,3,FALSE)</f>
        <v>0.12</v>
      </c>
      <c r="H39" s="30">
        <f ca="1">VLOOKUP(AT43,ParamPiterflow,3,FALSE)</f>
        <v>0.12</v>
      </c>
      <c r="I39" s="333"/>
      <c r="J39" s="69"/>
      <c r="K39" s="69"/>
      <c r="O39" s="88">
        <v>9</v>
      </c>
      <c r="P39" s="93" t="str">
        <f t="shared" ca="1" si="55"/>
        <v>---</v>
      </c>
      <c r="Q39" s="93" t="str">
        <f t="shared" ca="1" si="56"/>
        <v>---</v>
      </c>
      <c r="R39" s="93" t="str">
        <f t="shared" ca="1" si="57"/>
        <v>---</v>
      </c>
      <c r="S39" s="93" t="str">
        <f t="shared" ca="1" si="58"/>
        <v>---</v>
      </c>
      <c r="T39" s="93" t="str">
        <f t="shared" ca="1" si="73"/>
        <v>---</v>
      </c>
      <c r="U39" s="289" t="str">
        <f t="shared" ca="1" si="74"/>
        <v>---</v>
      </c>
      <c r="V39" s="289" t="str">
        <f t="shared" ca="1" si="75"/>
        <v>---</v>
      </c>
      <c r="W39" s="93" t="str">
        <f t="shared" ca="1" si="76"/>
        <v>---</v>
      </c>
      <c r="X39" s="93" t="str">
        <f t="shared" ca="1" si="77"/>
        <v>---</v>
      </c>
      <c r="Y39" s="93" t="str">
        <f t="shared" ca="1" si="78"/>
        <v>---</v>
      </c>
      <c r="Z39" s="290" t="str">
        <f t="shared" ca="1" si="59"/>
        <v>---</v>
      </c>
      <c r="AA39" s="290" t="str">
        <f t="shared" ca="1" si="60"/>
        <v>---</v>
      </c>
      <c r="AB39" s="93" t="str">
        <f t="shared" ca="1" si="61"/>
        <v>--</v>
      </c>
      <c r="AC39" s="291" t="str">
        <f t="shared" ca="1" si="62"/>
        <v>--</v>
      </c>
      <c r="AD39" s="93" t="str">
        <f t="shared" ca="1" si="63"/>
        <v>--</v>
      </c>
      <c r="AE39" s="93" t="str">
        <f t="shared" ca="1" si="64"/>
        <v>---</v>
      </c>
      <c r="AF39" s="93" t="str">
        <f t="shared" ca="1" si="65"/>
        <v>---</v>
      </c>
      <c r="AG39" s="292" t="str">
        <f t="shared" ca="1" si="66"/>
        <v>---</v>
      </c>
      <c r="AH39" s="292" t="str">
        <f t="shared" ca="1" si="67"/>
        <v>---</v>
      </c>
      <c r="AI39" s="292" t="str">
        <f t="shared" ca="1" si="68"/>
        <v>---</v>
      </c>
      <c r="AJ39" s="292" t="str">
        <f t="shared" ca="1" si="69"/>
        <v>---</v>
      </c>
      <c r="AK39" s="293" t="str">
        <f t="shared" ca="1" si="70"/>
        <v>---</v>
      </c>
      <c r="AL39" s="293" t="str">
        <f t="shared" ca="1" si="71"/>
        <v>---</v>
      </c>
      <c r="AM39" s="293" t="str">
        <f t="shared" ca="1" si="72"/>
        <v>---</v>
      </c>
      <c r="AN39" s="294" t="str">
        <f t="shared" ca="1" si="79"/>
        <v>---</v>
      </c>
      <c r="AO39" s="294" t="str">
        <f t="shared" ca="1" si="80"/>
        <v>---</v>
      </c>
      <c r="AP39" s="294" t="str">
        <f t="shared" ca="1" si="81"/>
        <v>---</v>
      </c>
      <c r="AS39" s="41"/>
      <c r="AT39" s="9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" customHeight="1" thickBot="1" x14ac:dyDescent="0.45">
      <c r="B40" s="815" t="s">
        <v>101</v>
      </c>
      <c r="C40" s="816"/>
      <c r="D40" s="31">
        <f ca="1">VLOOKUP(AT3,ParamPiterflow,2,FALSE)</f>
        <v>0.3</v>
      </c>
      <c r="E40" s="32">
        <f ca="1">VLOOKUP(AT16,ParamPiterflow,2,FALSE)</f>
        <v>0.2</v>
      </c>
      <c r="F40" s="343"/>
      <c r="G40" s="31">
        <f ca="1">VLOOKUP(AT30,ParamPiterflow,2,FALSE)</f>
        <v>0.08</v>
      </c>
      <c r="H40" s="32">
        <f ca="1">VLOOKUP(AT43,ParamPiterflow,2,FALSE)</f>
        <v>0.08</v>
      </c>
      <c r="I40" s="333"/>
      <c r="O40" s="88">
        <v>10</v>
      </c>
      <c r="P40" s="93" t="str">
        <f t="shared" ca="1" si="55"/>
        <v>---</v>
      </c>
      <c r="Q40" s="93" t="str">
        <f t="shared" ca="1" si="56"/>
        <v>---</v>
      </c>
      <c r="R40" s="93" t="str">
        <f t="shared" ca="1" si="57"/>
        <v>---</v>
      </c>
      <c r="S40" s="93" t="str">
        <f t="shared" ca="1" si="58"/>
        <v>---</v>
      </c>
      <c r="T40" s="93" t="str">
        <f t="shared" ca="1" si="73"/>
        <v>---</v>
      </c>
      <c r="U40" s="289" t="str">
        <f t="shared" ca="1" si="74"/>
        <v>---</v>
      </c>
      <c r="V40" s="289" t="str">
        <f t="shared" ca="1" si="75"/>
        <v>---</v>
      </c>
      <c r="W40" s="93" t="str">
        <f t="shared" ca="1" si="76"/>
        <v>---</v>
      </c>
      <c r="X40" s="93" t="str">
        <f t="shared" ca="1" si="77"/>
        <v>---</v>
      </c>
      <c r="Y40" s="93" t="str">
        <f t="shared" ca="1" si="78"/>
        <v>---</v>
      </c>
      <c r="Z40" s="290" t="str">
        <f t="shared" ca="1" si="59"/>
        <v>---</v>
      </c>
      <c r="AA40" s="290" t="str">
        <f t="shared" ca="1" si="60"/>
        <v>---</v>
      </c>
      <c r="AB40" s="93" t="str">
        <f t="shared" ca="1" si="61"/>
        <v>--</v>
      </c>
      <c r="AC40" s="291" t="str">
        <f t="shared" ca="1" si="62"/>
        <v>--</v>
      </c>
      <c r="AD40" s="93" t="str">
        <f t="shared" ca="1" si="63"/>
        <v>--</v>
      </c>
      <c r="AE40" s="93" t="str">
        <f t="shared" ca="1" si="64"/>
        <v>---</v>
      </c>
      <c r="AF40" s="93" t="str">
        <f t="shared" ca="1" si="65"/>
        <v>---</v>
      </c>
      <c r="AG40" s="292" t="str">
        <f t="shared" ca="1" si="66"/>
        <v>---</v>
      </c>
      <c r="AH40" s="292" t="str">
        <f t="shared" ca="1" si="67"/>
        <v>---</v>
      </c>
      <c r="AI40" s="292" t="str">
        <f t="shared" ca="1" si="68"/>
        <v>---</v>
      </c>
      <c r="AJ40" s="292" t="str">
        <f t="shared" ca="1" si="69"/>
        <v>---</v>
      </c>
      <c r="AK40" s="293" t="str">
        <f t="shared" ca="1" si="70"/>
        <v>---</v>
      </c>
      <c r="AL40" s="293" t="str">
        <f t="shared" ca="1" si="71"/>
        <v>---</v>
      </c>
      <c r="AM40" s="293" t="str">
        <f t="shared" ca="1" si="72"/>
        <v>---</v>
      </c>
      <c r="AN40" s="294" t="str">
        <f t="shared" ca="1" si="79"/>
        <v>---</v>
      </c>
      <c r="AO40" s="294" t="str">
        <f t="shared" ca="1" si="80"/>
        <v>---</v>
      </c>
      <c r="AP40" s="294" t="str">
        <f t="shared" ca="1" si="81"/>
        <v>---</v>
      </c>
      <c r="AS40" s="41"/>
      <c r="AT40" s="91"/>
      <c r="AU40" s="383"/>
      <c r="AV40" s="41"/>
      <c r="AW40" s="41"/>
      <c r="AX40" s="41"/>
      <c r="AY40" s="41"/>
      <c r="AZ40" s="41"/>
      <c r="BA40" s="41"/>
      <c r="BB40" s="41"/>
      <c r="BC40" s="41"/>
    </row>
    <row r="41" spans="2:55" ht="18" customHeight="1" thickBot="1" x14ac:dyDescent="0.45">
      <c r="I41" s="333"/>
      <c r="L41" s="258"/>
      <c r="M41" s="41"/>
      <c r="N41" s="41"/>
      <c r="O41" s="384"/>
      <c r="P41" s="385"/>
      <c r="Q41" s="385"/>
      <c r="R41" s="385"/>
      <c r="S41" s="385"/>
      <c r="T41" s="385"/>
      <c r="U41" s="385"/>
      <c r="V41" s="386"/>
      <c r="W41" s="386"/>
      <c r="X41" s="385"/>
      <c r="Y41" s="385"/>
      <c r="Z41" s="387"/>
      <c r="AA41" s="387"/>
      <c r="AB41" s="385"/>
      <c r="AC41" s="385"/>
      <c r="AD41" s="388"/>
      <c r="AE41" s="388"/>
      <c r="AF41" s="388"/>
      <c r="AG41" s="388"/>
      <c r="AH41" s="389"/>
      <c r="AI41" s="389"/>
      <c r="AJ41" s="389"/>
      <c r="AK41" s="389"/>
      <c r="AL41" s="389"/>
      <c r="AM41" s="390"/>
      <c r="AN41" s="391"/>
      <c r="AO41" s="391"/>
      <c r="AP41" s="8"/>
      <c r="AQ41" s="392"/>
      <c r="AR41" s="393"/>
      <c r="AS41" s="41"/>
      <c r="AT41" s="393"/>
      <c r="AU41" s="393"/>
      <c r="AV41" s="41"/>
      <c r="AW41" s="41"/>
      <c r="AX41" s="41"/>
      <c r="AY41" s="41"/>
      <c r="AZ41" s="41"/>
      <c r="BA41" s="41"/>
      <c r="BB41" s="41"/>
      <c r="BC41" s="41"/>
    </row>
    <row r="42" spans="2:55" ht="25" customHeight="1" thickBot="1" x14ac:dyDescent="0.45">
      <c r="B42" s="800" t="s">
        <v>107</v>
      </c>
      <c r="C42" s="801"/>
      <c r="D42" s="801"/>
      <c r="E42" s="122"/>
      <c r="F42" s="122"/>
      <c r="G42" s="122"/>
      <c r="H42" s="121"/>
      <c r="I42" s="333"/>
      <c r="N42" s="262"/>
      <c r="O42" s="263" t="s">
        <v>406</v>
      </c>
      <c r="P42" s="264">
        <f>MATCH(M46,DyTr_New,0)</f>
        <v>16</v>
      </c>
      <c r="Q42" s="265">
        <f ca="1">MATCH(TRUE,AO44:AO53,0)</f>
        <v>2</v>
      </c>
      <c r="R42" s="266" t="s">
        <v>103</v>
      </c>
      <c r="S42" s="267"/>
      <c r="U42" s="268">
        <f ca="1">MATCH(TRUE,AO44:AO53,0)</f>
        <v>2</v>
      </c>
      <c r="V42" s="269" t="s">
        <v>407</v>
      </c>
      <c r="W42" s="270"/>
      <c r="X42" s="270"/>
      <c r="Y42" s="270"/>
      <c r="Z42" s="838" t="s">
        <v>206</v>
      </c>
      <c r="AA42" s="838"/>
      <c r="AB42" s="258"/>
      <c r="AG42" s="826" t="s">
        <v>75</v>
      </c>
      <c r="AH42" s="826"/>
      <c r="AI42" s="826"/>
      <c r="AJ42" s="271" t="s">
        <v>66</v>
      </c>
      <c r="AK42" s="810" t="s">
        <v>65</v>
      </c>
      <c r="AL42" s="810"/>
      <c r="AM42" s="810"/>
      <c r="AN42" s="272"/>
      <c r="AO42" s="273">
        <f ca="1">MATCH(TRUE,AO44:AO53,0)</f>
        <v>2</v>
      </c>
      <c r="AP42" s="273">
        <f ca="1">MATCH(TRUE,AP44:AP53,0)</f>
        <v>2</v>
      </c>
      <c r="AQ42" s="802" t="s">
        <v>69</v>
      </c>
      <c r="AR42" s="803"/>
      <c r="AS42" s="259"/>
      <c r="AT42" s="259"/>
      <c r="AU42" s="394"/>
      <c r="AV42" s="41"/>
      <c r="AW42" s="41"/>
      <c r="AX42" s="41"/>
      <c r="AY42" s="41"/>
      <c r="AZ42" s="41"/>
      <c r="BA42" s="41"/>
      <c r="BB42" s="41"/>
      <c r="BC42" s="41"/>
    </row>
    <row r="43" spans="2:55" ht="18" customHeight="1" x14ac:dyDescent="0.4">
      <c r="B43" s="395" t="s">
        <v>28</v>
      </c>
      <c r="C43" s="396"/>
      <c r="D43" s="113">
        <f>1000*$D$30/VLOOKUP(D31,TemperGrafik,3,FALSE)</f>
        <v>8.3333333333333339</v>
      </c>
      <c r="E43" s="113">
        <f>D43</f>
        <v>8.3333333333333339</v>
      </c>
      <c r="F43" s="71"/>
      <c r="G43" s="113">
        <f>1000*$G$30/(G46-5)</f>
        <v>2.8571428571428572</v>
      </c>
      <c r="H43" s="115">
        <f>1000*0.1*G30/10</f>
        <v>2</v>
      </c>
      <c r="I43" s="333"/>
      <c r="L43" s="277" t="s">
        <v>78</v>
      </c>
      <c r="M43" s="278" t="s">
        <v>90</v>
      </c>
      <c r="N43" s="279" t="s">
        <v>97</v>
      </c>
      <c r="O43" s="88"/>
      <c r="P43" s="280" t="s">
        <v>93</v>
      </c>
      <c r="Q43" s="280" t="s">
        <v>92</v>
      </c>
      <c r="R43" s="280" t="s">
        <v>408</v>
      </c>
      <c r="S43" s="66" t="s">
        <v>61</v>
      </c>
      <c r="T43" s="280" t="s">
        <v>18</v>
      </c>
      <c r="U43" s="63" t="s">
        <v>20</v>
      </c>
      <c r="V43" s="62" t="s">
        <v>21</v>
      </c>
      <c r="W43" s="63" t="s">
        <v>62</v>
      </c>
      <c r="X43" s="64" t="s">
        <v>63</v>
      </c>
      <c r="Y43" s="64" t="s">
        <v>64</v>
      </c>
      <c r="Z43" s="117" t="s">
        <v>204</v>
      </c>
      <c r="AA43" s="117" t="s">
        <v>205</v>
      </c>
      <c r="AB43" s="63" t="s">
        <v>227</v>
      </c>
      <c r="AC43" s="63" t="s">
        <v>225</v>
      </c>
      <c r="AD43" s="63" t="s">
        <v>226</v>
      </c>
      <c r="AE43" s="63" t="s">
        <v>228</v>
      </c>
      <c r="AF43" s="63" t="s">
        <v>229</v>
      </c>
      <c r="AG43" s="281" t="s">
        <v>351</v>
      </c>
      <c r="AH43" s="281" t="s">
        <v>352</v>
      </c>
      <c r="AI43" s="281" t="s">
        <v>353</v>
      </c>
      <c r="AJ43" s="281"/>
      <c r="AK43" s="281" t="s">
        <v>351</v>
      </c>
      <c r="AL43" s="281" t="s">
        <v>352</v>
      </c>
      <c r="AM43" s="281" t="s">
        <v>353</v>
      </c>
      <c r="AN43" s="281" t="s">
        <v>67</v>
      </c>
      <c r="AO43" s="281" t="s">
        <v>230</v>
      </c>
      <c r="AP43" s="281" t="s">
        <v>231</v>
      </c>
      <c r="AQ43" s="282" t="s">
        <v>409</v>
      </c>
      <c r="AR43" s="283" t="str">
        <f ca="1">IF(ISERROR(AO42),IF(ISERROR(AP42),"НЕТ",OFFSET(Q44,AP42-1,0,1)&amp;"-"&amp;OFFSET(AN44,AP42-1,0,1)&amp;"-Фланец"),OFFSET(Q44,AO42-1,0,1)&amp;"-"&amp;OFFSET(AN44,AO42-1,0,1)&amp;"-Cэндвич")</f>
        <v>ПРЭМ-20-D-Cэндвич</v>
      </c>
      <c r="AT43" s="284" t="str">
        <f ca="1">IF(ISERROR(AO42),IF(ISERROR(AP42),"НЕТ",OFFSET(Q44,AP42-1,0,1)&amp;"-"&amp;OFFSET(AN44,AP42-1,0,1)),OFFSET(Q44,AO42-1,0,1)&amp;"-"&amp;OFFSET(AN44,AO42-1,0,1))</f>
        <v>ПРЭМ-20-D</v>
      </c>
      <c r="AU43" s="338"/>
      <c r="AV43" s="41"/>
      <c r="AW43" s="41"/>
      <c r="AX43" s="41"/>
      <c r="AY43" s="41"/>
      <c r="AZ43" s="41"/>
      <c r="BA43" s="41"/>
      <c r="BB43" s="41"/>
      <c r="BC43" s="41"/>
    </row>
    <row r="44" spans="2:55" ht="18" customHeight="1" x14ac:dyDescent="0.4">
      <c r="B44" s="336" t="s">
        <v>27</v>
      </c>
      <c r="C44" s="337"/>
      <c r="D44" s="14">
        <f>D43*0.5</f>
        <v>4.166666666666667</v>
      </c>
      <c r="E44" s="14">
        <f>D44</f>
        <v>4.166666666666667</v>
      </c>
      <c r="F44" s="71"/>
      <c r="G44" s="14">
        <f>G43*0.04</f>
        <v>0.1142857142857143</v>
      </c>
      <c r="H44" s="96">
        <f>H43*0.04</f>
        <v>0.08</v>
      </c>
      <c r="I44" s="333"/>
      <c r="J44" s="69"/>
      <c r="L44" s="287" t="s">
        <v>74</v>
      </c>
      <c r="M44" s="288">
        <v>0.5</v>
      </c>
      <c r="N44" s="88">
        <f ca="1">OFFSET(DyTr_New,P42-1,1,1)</f>
        <v>6</v>
      </c>
      <c r="O44" s="88">
        <v>1</v>
      </c>
      <c r="P44" s="93" t="str">
        <f t="shared" ref="P44:P53" ca="1" si="82">IF(O44&lt;=$N$44,OFFSET(DyTr_New,$P$42-2+O44,4,1),"---")</f>
        <v>15-50</v>
      </c>
      <c r="Q44" s="93" t="str">
        <f t="shared" ref="Q44:Q53" ca="1" si="83">IF(O44&lt;=$N$44,OFFSET(DyTr_New,$P$42-2+O44,2,1),"---")</f>
        <v>ПРЭМ-15</v>
      </c>
      <c r="R44" s="93">
        <f t="shared" ref="R44:R53" ca="1" si="84">IF(O44&lt;=$N$44,OFFSET(DyTr_New,$P$42-2+O44,5,1),"---")</f>
        <v>15</v>
      </c>
      <c r="S44" s="93" t="str">
        <f t="shared" ref="S44:S53" ca="1" si="85">IF(O44&lt;=$N$44,OFFSET(DyTr_New,$P$42-2+O44,6,1),"---")</f>
        <v>30,14</v>
      </c>
      <c r="T44" s="93">
        <f ca="1">IF(O44&lt;=$N$44,($M$47/3.6)/((PI()*R44^2)/4000),"---")</f>
        <v>3.1969339632525648</v>
      </c>
      <c r="U44" s="289">
        <f ca="1">IF(O44&lt;=$N$44,(T44*R44/$M$49/1000),"---")</f>
        <v>102847.88004027803</v>
      </c>
      <c r="V44" s="289">
        <f ca="1">IF(O44&lt;=$N$44,(1/(1.14+2*LOG((R44/$M$44),10))^2),"---")</f>
        <v>5.9655827422120798E-2</v>
      </c>
      <c r="W44" s="93">
        <f ca="1">IF(O44&lt;=$N$44,(IF(S44=0,0,(V44/(8*SIN(RADIANS(S44/2))))*(1-(R44/$M$46)^4))),"---")</f>
        <v>2.8448487298016373E-2</v>
      </c>
      <c r="X44" s="93">
        <f ca="1">IF(O44&lt;=$N$44,(3.2*TAN(RADIANS(S44/2))^1.25*(1-(R44/$M$46)^2)^2),"---")</f>
        <v>0.51397936922726728</v>
      </c>
      <c r="Y44" s="93">
        <f ca="1">IF(O44&lt;=$N$44,(IF(S44=0,0,V44/(8*SIN(RADIANS(S44/2)))*(1-(R44/$M$46)^4))),"---")</f>
        <v>2.8448487298016373E-2</v>
      </c>
      <c r="Z44" s="290">
        <f t="shared" ref="Z44:Z53" ca="1" si="86">IF(O44&lt;=$N$44,VLOOKUP(Q44&amp;"-Сэндвич",TypePFlow,3,FALSE),"---")</f>
        <v>0</v>
      </c>
      <c r="AA44" s="290">
        <f t="shared" ref="AA44:AA53" ca="1" si="87">IF(O44&lt;=$N$44,VLOOKUP(Q44&amp;"-Фланец",TypePFlow,3,FALSE),"---")</f>
        <v>0</v>
      </c>
      <c r="AB44" s="93">
        <f ca="1">IF(O44&lt;=$N$44,(V44*4+W44+X44+Y44)*T44^2/(2*9.81),"--")</f>
        <v>0.42168193401355225</v>
      </c>
      <c r="AC44" s="291">
        <f ca="1">IF(O44&lt;=$N$44,(Z44*$M$47^2),"--")</f>
        <v>0</v>
      </c>
      <c r="AD44" s="93">
        <f ca="1">IF(O44&lt;=$N$44,(AA44*$M$47^2),"--")</f>
        <v>0</v>
      </c>
      <c r="AE44" s="93">
        <f ca="1">IF(O44&lt;=$N$44,(AB44+AC44),"---")</f>
        <v>0.42168193401355225</v>
      </c>
      <c r="AF44" s="93">
        <f ca="1">IF(O44&lt;=$N$44,(AB44+AD44),"---")</f>
        <v>0.42168193401355225</v>
      </c>
      <c r="AG44" s="292">
        <f t="shared" ref="AG44:AG53" ca="1" si="88">IF(O44&lt;=$N$44,VLOOKUP(Q44&amp;"-D",ParamPiterflow,2,FALSE),"---")</f>
        <v>0.04</v>
      </c>
      <c r="AH44" s="292">
        <f t="shared" ref="AH44:AH53" ca="1" si="89">IF(O44&lt;=$N$44,VLOOKUP(Q44&amp;"-C1",ParamPiterflow,2,FALSE),"---")</f>
        <v>2.4E-2</v>
      </c>
      <c r="AI44" s="292">
        <f t="shared" ref="AI44:AI53" ca="1" si="90">IF(O44&lt;=$N$44,VLOOKUP(Q44&amp;"-B1",ParamPiterflow,2,FALSE),"---")</f>
        <v>1.2999999999999999E-2</v>
      </c>
      <c r="AJ44" s="292">
        <f t="shared" ref="AJ44:AJ53" ca="1" si="91">IF(O44&lt;=$N$44,VLOOKUP(Q44&amp;"-D",ParamPiterflow,4,FALSE),"---")</f>
        <v>6</v>
      </c>
      <c r="AK44" s="293" t="b">
        <f ca="1">IF($O44&lt;=$N$44,AND(AG44&lt;$M$35,$AJ44&gt;$M$34),"---")</f>
        <v>1</v>
      </c>
      <c r="AL44" s="293" t="b">
        <f ca="1">IF($O44&lt;=$N$44,AND(AH44&lt;$M$35,$AJ44&gt;$M$34),"---")</f>
        <v>1</v>
      </c>
      <c r="AM44" s="293" t="b">
        <f ca="1">IF($O44&lt;=$N$44,AND(AI44&lt;$M$35,$AJ44&gt;$M$34),"---")</f>
        <v>1</v>
      </c>
      <c r="AN44" s="294" t="str">
        <f ca="1">IF($O44&lt;=$N$44,IF(AK44,"D",IF(AL44,"C1",IF(AM44,"B1","НЕТ"))),"---")</f>
        <v>D</v>
      </c>
      <c r="AO44" s="294" t="b">
        <f ca="1">IF($O44&lt;=$N$44,AND(AE44&lt;$M$45,NOT(AN44="НЕТ"),IF($F$26="Экономный",T44&lt;=3,IF(AND($F$26="Оптимальный",T44&gt;$H$51),T44&lt;=1.8,IF(AND($F$26="Затратный",T44&gt;$H$51),T44&lt;=1,T44&lt;=3)))),"---")</f>
        <v>0</v>
      </c>
      <c r="AP44" s="294" t="b">
        <f ca="1">IF($O44&lt;=$N$44,AND(AF44&lt;$M$45,NOT(AN44="НЕТ"),IF($F$26="Экономный",T44&lt;=3,IF(AND($F$26="Оптимальный",T44&gt;$H$51),T44&lt;=1.8,IF(AND($F$26="Затратный",T44&gt;$H$51),T44&lt;=1,T44&lt;=3)))),"---")</f>
        <v>0</v>
      </c>
      <c r="AQ44" s="295"/>
      <c r="AR44" s="296"/>
      <c r="AS44" s="259"/>
      <c r="AT44" s="259">
        <f ca="1">IF(ISERROR(AO42),IF(ISERROR(AP42),"НЕТ",AP42),AO42)</f>
        <v>2</v>
      </c>
      <c r="AU44" s="9"/>
      <c r="AV44" s="41"/>
      <c r="AW44" s="41"/>
      <c r="AX44" s="41"/>
      <c r="AY44" s="41"/>
      <c r="AZ44" s="41"/>
      <c r="BA44" s="41"/>
      <c r="BB44" s="41"/>
      <c r="BC44" s="41"/>
    </row>
    <row r="45" spans="2:55" ht="18" customHeight="1" x14ac:dyDescent="0.4">
      <c r="D45" s="11"/>
      <c r="E45" s="11"/>
      <c r="H45" s="97"/>
      <c r="I45" s="333"/>
      <c r="K45" s="69"/>
      <c r="L45" s="297" t="s">
        <v>189</v>
      </c>
      <c r="M45" s="298">
        <f>H32</f>
        <v>0.5</v>
      </c>
      <c r="N45" s="88"/>
      <c r="O45" s="88">
        <v>2</v>
      </c>
      <c r="P45" s="93" t="str">
        <f t="shared" ca="1" si="82"/>
        <v>20-50</v>
      </c>
      <c r="Q45" s="93" t="str">
        <f t="shared" ca="1" si="83"/>
        <v>ПРЭМ-20</v>
      </c>
      <c r="R45" s="93">
        <f t="shared" ca="1" si="84"/>
        <v>20</v>
      </c>
      <c r="S45" s="93" t="str">
        <f t="shared" ca="1" si="85"/>
        <v>46,4</v>
      </c>
      <c r="T45" s="93">
        <f t="shared" ref="T45:T53" ca="1" si="92">IF(O45&lt;=$N$44,($M$47/3.6)/((PI()*R45^2)/4000),"---")</f>
        <v>1.7982753543295678</v>
      </c>
      <c r="U45" s="289">
        <f t="shared" ref="U45:U53" ca="1" si="93">IF(O45&lt;=$N$44,(T45*R45/$M$49/1000),"---")</f>
        <v>77135.910030208528</v>
      </c>
      <c r="V45" s="289">
        <f t="shared" ref="V45:V53" ca="1" si="94">IF(O45&lt;=$N$44,(1/(1.14+2*LOG((R45/$M$44),10))^2),"---")</f>
        <v>5.2990299783484442E-2</v>
      </c>
      <c r="W45" s="93">
        <f t="shared" ref="W45:W53" ca="1" si="95">IF(O45&lt;=$N$44,(IF(S45=0,0,(V45/(8*SIN(RADIANS(S45/2))))*(1-(R45/$M$46)^4))),"---")</f>
        <v>1.6383680833374978E-2</v>
      </c>
      <c r="X45" s="93">
        <f t="shared" ref="X45:X53" ca="1" si="96">IF(O45&lt;=$N$44,(3.2*TAN(RADIANS(S45/2))^1.25*(1-(R45/$M$46)^2)^2),"---")</f>
        <v>0.78302287976523621</v>
      </c>
      <c r="Y45" s="93">
        <f t="shared" ref="Y45:Y53" ca="1" si="97">IF(O45&lt;=$N$44,(IF(S45=0,0,V45/(8*SIN(RADIANS(S45/2)))*(1-(R45/$M$46)^4))),"---")</f>
        <v>1.6383680833374978E-2</v>
      </c>
      <c r="Z45" s="290">
        <f t="shared" ca="1" si="86"/>
        <v>0</v>
      </c>
      <c r="AA45" s="290">
        <f t="shared" ca="1" si="87"/>
        <v>0</v>
      </c>
      <c r="AB45" s="93">
        <f t="shared" ref="AB45:AB53" ca="1" si="98">IF(O45&lt;=$N$44,(V45*4+W45+X45+Y45)*T45^2/(2*9.81),"--")</f>
        <v>0.16939534653007812</v>
      </c>
      <c r="AC45" s="291">
        <f t="shared" ref="AC45:AC53" ca="1" si="99">IF(O45&lt;=$N$44,(Z45*$M$47^2),"--")</f>
        <v>0</v>
      </c>
      <c r="AD45" s="93">
        <f t="shared" ref="AD45:AD53" ca="1" si="100">IF(O45&lt;=$N$44,(AA45*$M$47^2),"--")</f>
        <v>0</v>
      </c>
      <c r="AE45" s="93">
        <f t="shared" ref="AE45:AE53" ca="1" si="101">IF(O45&lt;=$N$44,(AB45+AC45),"---")</f>
        <v>0.16939534653007812</v>
      </c>
      <c r="AF45" s="93">
        <f t="shared" ref="AF45:AF53" ca="1" si="102">IF(O45&lt;=$N$44,(AB45+AD45),"---")</f>
        <v>0.16939534653007812</v>
      </c>
      <c r="AG45" s="292">
        <f t="shared" ca="1" si="88"/>
        <v>0.08</v>
      </c>
      <c r="AH45" s="292">
        <f t="shared" ca="1" si="89"/>
        <v>4.8000000000000001E-2</v>
      </c>
      <c r="AI45" s="292">
        <f t="shared" ca="1" si="90"/>
        <v>2.7E-2</v>
      </c>
      <c r="AJ45" s="292">
        <f t="shared" ca="1" si="91"/>
        <v>12</v>
      </c>
      <c r="AK45" s="293" t="b">
        <f t="shared" ref="AK45:AM53" ca="1" si="103">IF($O45&lt;=$N$44,AND(AG45&lt;$M$35,$AJ45&gt;$M$34),"---")</f>
        <v>1</v>
      </c>
      <c r="AL45" s="293" t="b">
        <f t="shared" ca="1" si="103"/>
        <v>1</v>
      </c>
      <c r="AM45" s="293" t="b">
        <f t="shared" ca="1" si="103"/>
        <v>1</v>
      </c>
      <c r="AN45" s="294" t="str">
        <f t="shared" ref="AN45:AN53" ca="1" si="104">IF($O45&lt;=$N$44,IF(AK45,"D",IF(AL45,"C1",IF(AM45,"B1","НЕТ"))),"---")</f>
        <v>D</v>
      </c>
      <c r="AO45" s="294" t="b">
        <f t="shared" ref="AO45:AO53" ca="1" si="105">IF($O45&lt;=$N$44,AND(AE45&lt;$M$45,NOT(AN45="НЕТ"),IF($F$26="Экономный",T45&lt;=3,IF(AND($F$26="Оптимальный",T45&gt;$H$51),T45&lt;=1.8,IF(AND($F$26="Затратный",T45&gt;$H$51),T45&lt;=1,T45&lt;=3)))),"---")</f>
        <v>1</v>
      </c>
      <c r="AP45" s="294" t="b">
        <f t="shared" ref="AP45:AP53" ca="1" si="106">IF($O45&lt;=$N$44,AND(AF45&lt;$M$45,NOT(AN45="НЕТ"),IF($F$26="Экономный",T45&lt;=3,IF(AND($F$26="Оптимальный",T45&gt;$H$51),T45&lt;=1.8,IF(AND($F$26="Затратный",T45&gt;$H$51),T45&lt;=1,T45&lt;=3)))),"---")</f>
        <v>1</v>
      </c>
      <c r="AQ45" s="299" t="s">
        <v>18</v>
      </c>
      <c r="AR45" s="300">
        <f ca="1">OFFSET(T44,IF(ISERROR(AO42),IF(ISERROR(AP42),"НЕТ",AP42),AO42)-1,0,1)</f>
        <v>1.7982753543295678</v>
      </c>
      <c r="AS45" s="259"/>
      <c r="AT45" s="259"/>
      <c r="AU45" s="10"/>
      <c r="AV45" s="41"/>
      <c r="AW45" s="41"/>
      <c r="AX45" s="41"/>
      <c r="AY45" s="41"/>
      <c r="AZ45" s="41"/>
      <c r="BA45" s="41"/>
      <c r="BB45" s="41"/>
      <c r="BC45" s="41"/>
    </row>
    <row r="46" spans="2:55" ht="18" customHeight="1" x14ac:dyDescent="0.4">
      <c r="B46" s="336" t="s">
        <v>29</v>
      </c>
      <c r="C46" s="337"/>
      <c r="D46" s="75">
        <f>VLOOKUP(D31,TemperGrafik,2,FALSE)</f>
        <v>130</v>
      </c>
      <c r="E46" s="34">
        <f>VLOOKUP(D31,TemperGrafik,4,FALSE)</f>
        <v>70</v>
      </c>
      <c r="F46" s="339"/>
      <c r="G46" s="34">
        <f>VLOOKUP(G31,TemperGrafikGVS,2,FALSE)</f>
        <v>75</v>
      </c>
      <c r="H46" s="34">
        <f>VLOOKUP(G31,TemperGrafikGVS,4,FALSE)</f>
        <v>60</v>
      </c>
      <c r="I46" s="56"/>
      <c r="L46" s="302" t="s">
        <v>410</v>
      </c>
      <c r="M46" s="303">
        <f>$H$33</f>
        <v>50</v>
      </c>
      <c r="N46" s="88"/>
      <c r="O46" s="88">
        <v>3</v>
      </c>
      <c r="P46" s="93" t="str">
        <f t="shared" ca="1" si="82"/>
        <v>25-50</v>
      </c>
      <c r="Q46" s="93" t="str">
        <f t="shared" ca="1" si="83"/>
        <v>ПРЭМ-25</v>
      </c>
      <c r="R46" s="93">
        <f t="shared" ca="1" si="84"/>
        <v>25</v>
      </c>
      <c r="S46" s="93" t="str">
        <f t="shared" ca="1" si="85"/>
        <v>39,3</v>
      </c>
      <c r="T46" s="93">
        <f t="shared" ca="1" si="92"/>
        <v>1.1508962267709233</v>
      </c>
      <c r="U46" s="289">
        <f t="shared" ca="1" si="93"/>
        <v>61708.72802416682</v>
      </c>
      <c r="V46" s="289">
        <f t="shared" ca="1" si="94"/>
        <v>4.8560427292756572E-2</v>
      </c>
      <c r="W46" s="93">
        <f t="shared" ca="1" si="95"/>
        <v>1.6922755912707779E-2</v>
      </c>
      <c r="X46" s="93">
        <f t="shared" ca="1" si="96"/>
        <v>0.49683315067415684</v>
      </c>
      <c r="Y46" s="93">
        <f t="shared" ca="1" si="97"/>
        <v>1.6922755912707779E-2</v>
      </c>
      <c r="Z46" s="290">
        <f t="shared" ca="1" si="86"/>
        <v>0</v>
      </c>
      <c r="AA46" s="290">
        <f t="shared" ca="1" si="87"/>
        <v>0</v>
      </c>
      <c r="AB46" s="93">
        <f t="shared" ca="1" si="98"/>
        <v>4.8939962681324514E-2</v>
      </c>
      <c r="AC46" s="291">
        <f t="shared" ca="1" si="99"/>
        <v>0</v>
      </c>
      <c r="AD46" s="93">
        <f t="shared" ca="1" si="100"/>
        <v>0</v>
      </c>
      <c r="AE46" s="93">
        <f t="shared" ca="1" si="101"/>
        <v>4.8939962681324514E-2</v>
      </c>
      <c r="AF46" s="93">
        <f t="shared" ca="1" si="102"/>
        <v>4.8939962681324514E-2</v>
      </c>
      <c r="AG46" s="292">
        <f t="shared" ca="1" si="88"/>
        <v>0.12</v>
      </c>
      <c r="AH46" s="292">
        <f t="shared" ca="1" si="89"/>
        <v>7.1999999999999995E-2</v>
      </c>
      <c r="AI46" s="292">
        <f t="shared" ca="1" si="90"/>
        <v>0.04</v>
      </c>
      <c r="AJ46" s="292">
        <f t="shared" ca="1" si="91"/>
        <v>18</v>
      </c>
      <c r="AK46" s="293" t="b">
        <f t="shared" ca="1" si="103"/>
        <v>0</v>
      </c>
      <c r="AL46" s="293" t="b">
        <f t="shared" ca="1" si="103"/>
        <v>1</v>
      </c>
      <c r="AM46" s="293" t="b">
        <f t="shared" ca="1" si="103"/>
        <v>1</v>
      </c>
      <c r="AN46" s="294" t="str">
        <f t="shared" ca="1" si="104"/>
        <v>C1</v>
      </c>
      <c r="AO46" s="294" t="b">
        <f t="shared" ca="1" si="105"/>
        <v>1</v>
      </c>
      <c r="AP46" s="294" t="b">
        <f t="shared" ca="1" si="106"/>
        <v>1</v>
      </c>
      <c r="AQ46" s="65" t="s">
        <v>22</v>
      </c>
      <c r="AR46" s="300">
        <f ca="1">IF(ISERROR(AO42),IF(ISERROR(AP42),"НЕТ",OFFSET(AF44,AP42-1,0,1)),OFFSET(AE44,AO42-1,0,1))</f>
        <v>0.16939534653007812</v>
      </c>
      <c r="AS46" s="304"/>
      <c r="AT46" s="91">
        <f ca="1">IF(ISERROR(AO42),IF(ISERROR(AP42),"НЕТ",OFFSET(AF44,AP42-1,0,1)),OFFSET(AE44,AO42-1,0,1))</f>
        <v>0.16939534653007812</v>
      </c>
      <c r="AU46" s="10"/>
      <c r="AV46" s="41"/>
      <c r="AW46" s="41"/>
      <c r="AX46" s="41"/>
      <c r="AY46" s="41"/>
      <c r="AZ46" s="41"/>
      <c r="BA46" s="41"/>
      <c r="BB46" s="41"/>
      <c r="BC46" s="41"/>
    </row>
    <row r="47" spans="2:55" ht="18" customHeight="1" x14ac:dyDescent="0.4">
      <c r="B47" s="340" t="s">
        <v>57</v>
      </c>
      <c r="C47" s="341"/>
      <c r="D47" s="14">
        <f>($D$46*0.01)^5*(-0.0005625*$D$34-1.3864)+($D$46*0.01)^4*(0.054517*$D$34+7.325)+($D$46*0.01)^3*(-0.27408*$D$34-15.474)+($D$46*0.01)^2*(0.52327*$D$34-5.0668)+$D$46*0.01*(-0.42067*$D$34-38.224)+0.16333*$D$34+1011.185</f>
        <v>935.07359949202498</v>
      </c>
      <c r="E47" s="14">
        <f>($E$46*0.01)^5*(-0.0005625*$E$34-1.3864)+($E$46*0.01)^4*(0.054517*$E$34+7.325)+($E$46*0.01)^3*(-0.27408*$E$34-15.474)+($E$46*0.01)^2*(0.52327*$E$34-5.0668)+$E$46*0.01*(-0.42067*$E$34-38.224)+0.16333*$E$34+1011.185</f>
        <v>978.384850513625</v>
      </c>
      <c r="G47" s="14">
        <f>($G$46*0.01)^5*(-0.0005625*$G$34-1.3864)+($G$46*0.01)^4*(0.054517*$G$34+7.325)+($G$46*0.01)^3*(-0.27408*$G$34-15.474)+($G$46*0.01)^2*(0.52327*$G$34-5.0668)+$G$46*0.01*(-0.42067*$G$34-38.224)+0.16333*$G$34+1011.185</f>
        <v>975.4330956870117</v>
      </c>
      <c r="H47" s="14">
        <f>H73</f>
        <v>983.3801327027054</v>
      </c>
      <c r="I47" s="8"/>
      <c r="L47" s="305" t="s">
        <v>71</v>
      </c>
      <c r="M47" s="306">
        <f>H48</f>
        <v>2.0338015112256067</v>
      </c>
      <c r="N47" s="88"/>
      <c r="O47" s="88">
        <v>4</v>
      </c>
      <c r="P47" s="93" t="str">
        <f t="shared" ca="1" si="82"/>
        <v>32-50</v>
      </c>
      <c r="Q47" s="93" t="str">
        <f t="shared" ca="1" si="83"/>
        <v>ПРЭМ-32</v>
      </c>
      <c r="R47" s="93">
        <f t="shared" ca="1" si="84"/>
        <v>32</v>
      </c>
      <c r="S47" s="93" t="str">
        <f t="shared" ca="1" si="85"/>
        <v>28,84</v>
      </c>
      <c r="T47" s="93">
        <f t="shared" ca="1" si="92"/>
        <v>0.70245131028498731</v>
      </c>
      <c r="U47" s="289">
        <f t="shared" ca="1" si="93"/>
        <v>48209.943768880323</v>
      </c>
      <c r="V47" s="289">
        <f t="shared" ca="1" si="94"/>
        <v>4.4277322004702871E-2</v>
      </c>
      <c r="W47" s="93">
        <f t="shared" ca="1" si="95"/>
        <v>1.8496325863946641E-2</v>
      </c>
      <c r="X47" s="93">
        <f t="shared" ca="1" si="96"/>
        <v>0.20423510163470199</v>
      </c>
      <c r="Y47" s="93">
        <f t="shared" ca="1" si="97"/>
        <v>1.8496325863946641E-2</v>
      </c>
      <c r="Z47" s="290">
        <f t="shared" ca="1" si="86"/>
        <v>0</v>
      </c>
      <c r="AA47" s="290">
        <f t="shared" ca="1" si="87"/>
        <v>0</v>
      </c>
      <c r="AB47" s="93">
        <f t="shared" ca="1" si="98"/>
        <v>1.0521066640192112E-2</v>
      </c>
      <c r="AC47" s="291">
        <f t="shared" ca="1" si="99"/>
        <v>0</v>
      </c>
      <c r="AD47" s="93">
        <f t="shared" ca="1" si="100"/>
        <v>0</v>
      </c>
      <c r="AE47" s="93">
        <f t="shared" ca="1" si="101"/>
        <v>1.0521066640192112E-2</v>
      </c>
      <c r="AF47" s="93">
        <f t="shared" ca="1" si="102"/>
        <v>1.0521066640192112E-2</v>
      </c>
      <c r="AG47" s="292">
        <f t="shared" ca="1" si="88"/>
        <v>0.2</v>
      </c>
      <c r="AH47" s="292">
        <f t="shared" ca="1" si="89"/>
        <v>0.12</v>
      </c>
      <c r="AI47" s="292">
        <f t="shared" ca="1" si="90"/>
        <v>6.7000000000000004E-2</v>
      </c>
      <c r="AJ47" s="292">
        <f t="shared" ca="1" si="91"/>
        <v>30</v>
      </c>
      <c r="AK47" s="293" t="b">
        <f t="shared" ca="1" si="103"/>
        <v>0</v>
      </c>
      <c r="AL47" s="293" t="b">
        <f t="shared" ca="1" si="103"/>
        <v>0</v>
      </c>
      <c r="AM47" s="293" t="b">
        <f t="shared" ca="1" si="103"/>
        <v>1</v>
      </c>
      <c r="AN47" s="294" t="str">
        <f t="shared" ca="1" si="104"/>
        <v>B1</v>
      </c>
      <c r="AO47" s="294" t="b">
        <f t="shared" ca="1" si="105"/>
        <v>1</v>
      </c>
      <c r="AP47" s="294" t="b">
        <f t="shared" ca="1" si="106"/>
        <v>1</v>
      </c>
      <c r="AQ47" s="307"/>
      <c r="AR47" s="308"/>
      <c r="AS47" s="309"/>
      <c r="AT47" s="310"/>
      <c r="AU47" s="10"/>
      <c r="AV47" s="41"/>
      <c r="AW47" s="41"/>
      <c r="AX47" s="41"/>
      <c r="AY47" s="41"/>
      <c r="AZ47" s="41"/>
      <c r="BA47" s="41"/>
      <c r="BB47" s="41"/>
      <c r="BC47" s="41"/>
    </row>
    <row r="48" spans="2:55" ht="18" customHeight="1" x14ac:dyDescent="0.4">
      <c r="B48" s="340" t="s">
        <v>80</v>
      </c>
      <c r="C48" s="341"/>
      <c r="D48" s="14">
        <f>(D43)*1000/$D$47</f>
        <v>8.9119544577671572</v>
      </c>
      <c r="E48" s="14">
        <f>(E43)*1000/$E$47</f>
        <v>8.5174390516764085</v>
      </c>
      <c r="F48" s="343"/>
      <c r="G48" s="14">
        <f>G43*1000/$G$47</f>
        <v>2.9291018213099793</v>
      </c>
      <c r="H48" s="14">
        <f>H43*1000/$H$47</f>
        <v>2.0338015112256067</v>
      </c>
      <c r="I48" s="333"/>
      <c r="L48" s="305" t="s">
        <v>72</v>
      </c>
      <c r="M48" s="306">
        <f>H49</f>
        <v>8.1352060449024266E-2</v>
      </c>
      <c r="N48" s="88"/>
      <c r="O48" s="88">
        <v>5</v>
      </c>
      <c r="P48" s="93" t="str">
        <f t="shared" ca="1" si="82"/>
        <v>40-50</v>
      </c>
      <c r="Q48" s="93" t="str">
        <f t="shared" ca="1" si="83"/>
        <v>ПРЭМ-40</v>
      </c>
      <c r="R48" s="93">
        <f t="shared" ca="1" si="84"/>
        <v>40</v>
      </c>
      <c r="S48" s="93" t="str">
        <f t="shared" ca="1" si="85"/>
        <v>11,42</v>
      </c>
      <c r="T48" s="93">
        <f t="shared" ca="1" si="92"/>
        <v>0.44956883858239194</v>
      </c>
      <c r="U48" s="289">
        <f t="shared" ca="1" si="93"/>
        <v>38567.955015104264</v>
      </c>
      <c r="V48" s="289">
        <f t="shared" ca="1" si="94"/>
        <v>4.0875226338606262E-2</v>
      </c>
      <c r="W48" s="93">
        <f t="shared" ca="1" si="95"/>
        <v>3.0319510161434582E-2</v>
      </c>
      <c r="X48" s="93">
        <f t="shared" ca="1" si="96"/>
        <v>2.3318371452135389E-2</v>
      </c>
      <c r="Y48" s="93">
        <f t="shared" ca="1" si="97"/>
        <v>3.0319510161434582E-2</v>
      </c>
      <c r="Z48" s="290">
        <f t="shared" ca="1" si="86"/>
        <v>0</v>
      </c>
      <c r="AA48" s="290">
        <f t="shared" ca="1" si="87"/>
        <v>0</v>
      </c>
      <c r="AB48" s="93">
        <f t="shared" ca="1" si="98"/>
        <v>2.5491501604525094E-3</v>
      </c>
      <c r="AC48" s="291">
        <f t="shared" ca="1" si="99"/>
        <v>0</v>
      </c>
      <c r="AD48" s="93">
        <f t="shared" ca="1" si="100"/>
        <v>0</v>
      </c>
      <c r="AE48" s="93">
        <f t="shared" ca="1" si="101"/>
        <v>2.5491501604525094E-3</v>
      </c>
      <c r="AF48" s="93">
        <f t="shared" ca="1" si="102"/>
        <v>2.5491501604525094E-3</v>
      </c>
      <c r="AG48" s="292">
        <f t="shared" ca="1" si="88"/>
        <v>0.3</v>
      </c>
      <c r="AH48" s="292">
        <f t="shared" ca="1" si="89"/>
        <v>0.18</v>
      </c>
      <c r="AI48" s="292">
        <f t="shared" ca="1" si="90"/>
        <v>0.1</v>
      </c>
      <c r="AJ48" s="292">
        <f t="shared" ca="1" si="91"/>
        <v>45</v>
      </c>
      <c r="AK48" s="293" t="b">
        <f t="shared" ca="1" si="103"/>
        <v>0</v>
      </c>
      <c r="AL48" s="293" t="b">
        <f t="shared" ca="1" si="103"/>
        <v>0</v>
      </c>
      <c r="AM48" s="293" t="b">
        <f t="shared" ca="1" si="103"/>
        <v>1</v>
      </c>
      <c r="AN48" s="294" t="str">
        <f t="shared" ca="1" si="104"/>
        <v>B1</v>
      </c>
      <c r="AO48" s="294" t="b">
        <f t="shared" ca="1" si="105"/>
        <v>1</v>
      </c>
      <c r="AP48" s="294" t="b">
        <f t="shared" ca="1" si="106"/>
        <v>1</v>
      </c>
      <c r="AQ48" s="311"/>
      <c r="AR48" s="312"/>
      <c r="AS48" s="313"/>
      <c r="AT48" s="314"/>
      <c r="AU48" s="10"/>
      <c r="AV48" s="41"/>
      <c r="AW48" s="41"/>
      <c r="AX48" s="41"/>
      <c r="AY48" s="41"/>
      <c r="AZ48" s="41"/>
      <c r="BA48" s="41"/>
      <c r="BB48" s="41"/>
      <c r="BC48" s="41"/>
    </row>
    <row r="49" spans="2:55" ht="18" customHeight="1" x14ac:dyDescent="0.4">
      <c r="B49" s="340" t="s">
        <v>79</v>
      </c>
      <c r="C49" s="341"/>
      <c r="D49" s="14">
        <f>(D44)*1000/$D$47</f>
        <v>4.4559772288835786</v>
      </c>
      <c r="E49" s="14">
        <f>(E44)*1000/$E$47</f>
        <v>4.2587195258382042</v>
      </c>
      <c r="G49" s="14">
        <f>G44*1000/$G$47</f>
        <v>0.11716407285239917</v>
      </c>
      <c r="H49" s="14">
        <f>H44*1000/$H$47</f>
        <v>8.1352060449024266E-2</v>
      </c>
      <c r="I49" s="333"/>
      <c r="L49" s="305" t="s">
        <v>73</v>
      </c>
      <c r="M49" s="315">
        <f>H61</f>
        <v>4.6626152556580045E-7</v>
      </c>
      <c r="N49" s="88"/>
      <c r="O49" s="88">
        <v>6</v>
      </c>
      <c r="P49" s="93" t="str">
        <f t="shared" ca="1" si="82"/>
        <v>50-50</v>
      </c>
      <c r="Q49" s="93" t="str">
        <f t="shared" ca="1" si="83"/>
        <v>ПРЭМ-50</v>
      </c>
      <c r="R49" s="93">
        <f t="shared" ca="1" si="84"/>
        <v>50</v>
      </c>
      <c r="S49" s="93">
        <f t="shared" ca="1" si="85"/>
        <v>0</v>
      </c>
      <c r="T49" s="93">
        <f t="shared" ca="1" si="92"/>
        <v>0.28772405669273082</v>
      </c>
      <c r="U49" s="289">
        <f t="shared" ca="1" si="93"/>
        <v>30854.36401208341</v>
      </c>
      <c r="V49" s="289">
        <f t="shared" ca="1" si="94"/>
        <v>3.7850686611455138E-2</v>
      </c>
      <c r="W49" s="93">
        <f t="shared" ca="1" si="95"/>
        <v>0</v>
      </c>
      <c r="X49" s="93">
        <f t="shared" ca="1" si="96"/>
        <v>0</v>
      </c>
      <c r="Y49" s="93">
        <f t="shared" ca="1" si="97"/>
        <v>0</v>
      </c>
      <c r="Z49" s="290">
        <f t="shared" ca="1" si="86"/>
        <v>0</v>
      </c>
      <c r="AA49" s="290">
        <f t="shared" ca="1" si="87"/>
        <v>0</v>
      </c>
      <c r="AB49" s="93">
        <f t="shared" ca="1" si="98"/>
        <v>6.3883264376961573E-4</v>
      </c>
      <c r="AC49" s="291">
        <f t="shared" ca="1" si="99"/>
        <v>0</v>
      </c>
      <c r="AD49" s="93">
        <f t="shared" ca="1" si="100"/>
        <v>0</v>
      </c>
      <c r="AE49" s="93">
        <f t="shared" ca="1" si="101"/>
        <v>6.3883264376961573E-4</v>
      </c>
      <c r="AF49" s="93">
        <f t="shared" ca="1" si="102"/>
        <v>6.3883264376961573E-4</v>
      </c>
      <c r="AG49" s="292">
        <f t="shared" ca="1" si="88"/>
        <v>0.48</v>
      </c>
      <c r="AH49" s="292">
        <f t="shared" ca="1" si="89"/>
        <v>0.28799999999999998</v>
      </c>
      <c r="AI49" s="292">
        <f t="shared" ca="1" si="90"/>
        <v>0.16</v>
      </c>
      <c r="AJ49" s="292">
        <f t="shared" ca="1" si="91"/>
        <v>72</v>
      </c>
      <c r="AK49" s="293" t="b">
        <f t="shared" ca="1" si="103"/>
        <v>0</v>
      </c>
      <c r="AL49" s="293" t="b">
        <f t="shared" ca="1" si="103"/>
        <v>0</v>
      </c>
      <c r="AM49" s="293" t="b">
        <f t="shared" ca="1" si="103"/>
        <v>0</v>
      </c>
      <c r="AN49" s="294" t="str">
        <f t="shared" ca="1" si="104"/>
        <v>НЕТ</v>
      </c>
      <c r="AO49" s="294" t="b">
        <f t="shared" ca="1" si="105"/>
        <v>0</v>
      </c>
      <c r="AP49" s="294" t="b">
        <f t="shared" ca="1" si="106"/>
        <v>0</v>
      </c>
      <c r="AQ49" s="91"/>
      <c r="AS49" s="316"/>
      <c r="AT49" s="317"/>
      <c r="AU49" s="10"/>
      <c r="AV49" s="41"/>
      <c r="AW49" s="41"/>
      <c r="AX49" s="41"/>
      <c r="AY49" s="41"/>
      <c r="AZ49" s="41"/>
      <c r="BA49" s="41"/>
      <c r="BB49" s="41"/>
      <c r="BC49" s="41"/>
    </row>
    <row r="50" spans="2:55" ht="25" customHeight="1" thickBot="1" x14ac:dyDescent="0.35">
      <c r="D50" s="24" t="str">
        <f>IF(D51&gt;=3,"Большая скорость потока!","")</f>
        <v/>
      </c>
      <c r="E50" s="24" t="str">
        <f>IF(E51&gt;=3,"Большая скорость потока!","")</f>
        <v/>
      </c>
      <c r="F50" s="24"/>
      <c r="G50" s="24" t="str">
        <f>IF(G51&gt;=3,"Большая скорость потока!","")</f>
        <v/>
      </c>
      <c r="H50" s="24" t="str">
        <f>IF(H51&gt;=3,"Большая скорость потока!","")</f>
        <v/>
      </c>
      <c r="I50" s="333"/>
      <c r="L50" s="318" t="s">
        <v>102</v>
      </c>
      <c r="M50" s="319">
        <f>(M47/3.6)/((PI()*M46^2)/4000)</f>
        <v>0.28772405669273082</v>
      </c>
      <c r="O50" s="88">
        <v>7</v>
      </c>
      <c r="P50" s="93" t="str">
        <f t="shared" ca="1" si="82"/>
        <v>---</v>
      </c>
      <c r="Q50" s="93" t="str">
        <f t="shared" ca="1" si="83"/>
        <v>---</v>
      </c>
      <c r="R50" s="93" t="str">
        <f t="shared" ca="1" si="84"/>
        <v>---</v>
      </c>
      <c r="S50" s="93" t="str">
        <f t="shared" ca="1" si="85"/>
        <v>---</v>
      </c>
      <c r="T50" s="93" t="str">
        <f t="shared" ca="1" si="92"/>
        <v>---</v>
      </c>
      <c r="U50" s="289" t="str">
        <f t="shared" ca="1" si="93"/>
        <v>---</v>
      </c>
      <c r="V50" s="289" t="str">
        <f t="shared" ca="1" si="94"/>
        <v>---</v>
      </c>
      <c r="W50" s="93" t="str">
        <f t="shared" ca="1" si="95"/>
        <v>---</v>
      </c>
      <c r="X50" s="93" t="str">
        <f t="shared" ca="1" si="96"/>
        <v>---</v>
      </c>
      <c r="Y50" s="93" t="str">
        <f t="shared" ca="1" si="97"/>
        <v>---</v>
      </c>
      <c r="Z50" s="290" t="str">
        <f t="shared" ca="1" si="86"/>
        <v>---</v>
      </c>
      <c r="AA50" s="290" t="str">
        <f t="shared" ca="1" si="87"/>
        <v>---</v>
      </c>
      <c r="AB50" s="93" t="str">
        <f t="shared" ca="1" si="98"/>
        <v>--</v>
      </c>
      <c r="AC50" s="291" t="str">
        <f t="shared" ca="1" si="99"/>
        <v>--</v>
      </c>
      <c r="AD50" s="93" t="str">
        <f t="shared" ca="1" si="100"/>
        <v>--</v>
      </c>
      <c r="AE50" s="93" t="str">
        <f t="shared" ca="1" si="101"/>
        <v>---</v>
      </c>
      <c r="AF50" s="93" t="str">
        <f t="shared" ca="1" si="102"/>
        <v>---</v>
      </c>
      <c r="AG50" s="292" t="str">
        <f t="shared" ca="1" si="88"/>
        <v>---</v>
      </c>
      <c r="AH50" s="292" t="str">
        <f t="shared" ca="1" si="89"/>
        <v>---</v>
      </c>
      <c r="AI50" s="292" t="str">
        <f t="shared" ca="1" si="90"/>
        <v>---</v>
      </c>
      <c r="AJ50" s="292" t="str">
        <f t="shared" ca="1" si="91"/>
        <v>---</v>
      </c>
      <c r="AK50" s="293" t="str">
        <f t="shared" ca="1" si="103"/>
        <v>---</v>
      </c>
      <c r="AL50" s="293" t="str">
        <f t="shared" ca="1" si="103"/>
        <v>---</v>
      </c>
      <c r="AM50" s="293" t="str">
        <f t="shared" ca="1" si="103"/>
        <v>---</v>
      </c>
      <c r="AN50" s="294" t="str">
        <f t="shared" ca="1" si="104"/>
        <v>---</v>
      </c>
      <c r="AO50" s="294" t="str">
        <f t="shared" ca="1" si="105"/>
        <v>---</v>
      </c>
      <c r="AP50" s="294" t="str">
        <f t="shared" ca="1" si="106"/>
        <v>---</v>
      </c>
      <c r="AR50" s="320"/>
      <c r="AT50" s="9"/>
      <c r="AU50" s="10"/>
      <c r="AV50" s="41"/>
      <c r="AW50" s="41"/>
      <c r="AX50" s="41"/>
      <c r="AY50" s="41"/>
      <c r="AZ50" s="41"/>
      <c r="BA50" s="41"/>
      <c r="BB50" s="41"/>
      <c r="BC50" s="41"/>
    </row>
    <row r="51" spans="2:55" ht="18" customHeight="1" x14ac:dyDescent="0.3">
      <c r="B51" s="340" t="s">
        <v>24</v>
      </c>
      <c r="C51" s="341"/>
      <c r="D51" s="61">
        <f>M10</f>
        <v>0.49249361269565795</v>
      </c>
      <c r="E51" s="26">
        <f>M23</f>
        <v>0.47069184984661311</v>
      </c>
      <c r="G51" s="26">
        <f>M37</f>
        <v>0.41438314104973933</v>
      </c>
      <c r="H51" s="26">
        <f>M50</f>
        <v>0.28772405669273082</v>
      </c>
      <c r="I51" s="333"/>
      <c r="O51" s="88">
        <v>8</v>
      </c>
      <c r="P51" s="93" t="str">
        <f t="shared" ca="1" si="82"/>
        <v>---</v>
      </c>
      <c r="Q51" s="93" t="str">
        <f t="shared" ca="1" si="83"/>
        <v>---</v>
      </c>
      <c r="R51" s="93" t="str">
        <f t="shared" ca="1" si="84"/>
        <v>---</v>
      </c>
      <c r="S51" s="93" t="str">
        <f t="shared" ca="1" si="85"/>
        <v>---</v>
      </c>
      <c r="T51" s="93" t="str">
        <f t="shared" ca="1" si="92"/>
        <v>---</v>
      </c>
      <c r="U51" s="289" t="str">
        <f t="shared" ca="1" si="93"/>
        <v>---</v>
      </c>
      <c r="V51" s="289" t="str">
        <f t="shared" ca="1" si="94"/>
        <v>---</v>
      </c>
      <c r="W51" s="93" t="str">
        <f t="shared" ca="1" si="95"/>
        <v>---</v>
      </c>
      <c r="X51" s="93" t="str">
        <f t="shared" ca="1" si="96"/>
        <v>---</v>
      </c>
      <c r="Y51" s="93" t="str">
        <f t="shared" ca="1" si="97"/>
        <v>---</v>
      </c>
      <c r="Z51" s="290" t="str">
        <f t="shared" ca="1" si="86"/>
        <v>---</v>
      </c>
      <c r="AA51" s="290" t="str">
        <f t="shared" ca="1" si="87"/>
        <v>---</v>
      </c>
      <c r="AB51" s="93" t="str">
        <f t="shared" ca="1" si="98"/>
        <v>--</v>
      </c>
      <c r="AC51" s="291" t="str">
        <f t="shared" ca="1" si="99"/>
        <v>--</v>
      </c>
      <c r="AD51" s="93" t="str">
        <f t="shared" ca="1" si="100"/>
        <v>--</v>
      </c>
      <c r="AE51" s="93" t="str">
        <f t="shared" ca="1" si="101"/>
        <v>---</v>
      </c>
      <c r="AF51" s="93" t="str">
        <f t="shared" ca="1" si="102"/>
        <v>---</v>
      </c>
      <c r="AG51" s="292" t="str">
        <f t="shared" ca="1" si="88"/>
        <v>---</v>
      </c>
      <c r="AH51" s="292" t="str">
        <f t="shared" ca="1" si="89"/>
        <v>---</v>
      </c>
      <c r="AI51" s="292" t="str">
        <f t="shared" ca="1" si="90"/>
        <v>---</v>
      </c>
      <c r="AJ51" s="292" t="str">
        <f t="shared" ca="1" si="91"/>
        <v>---</v>
      </c>
      <c r="AK51" s="293" t="str">
        <f t="shared" ca="1" si="103"/>
        <v>---</v>
      </c>
      <c r="AL51" s="293" t="str">
        <f t="shared" ca="1" si="103"/>
        <v>---</v>
      </c>
      <c r="AM51" s="293" t="str">
        <f t="shared" ca="1" si="103"/>
        <v>---</v>
      </c>
      <c r="AN51" s="294" t="str">
        <f t="shared" ca="1" si="104"/>
        <v>---</v>
      </c>
      <c r="AO51" s="294" t="str">
        <f t="shared" ca="1" si="105"/>
        <v>---</v>
      </c>
      <c r="AP51" s="294" t="str">
        <f t="shared" ca="1" si="106"/>
        <v>---</v>
      </c>
      <c r="AR51" s="320"/>
      <c r="AT51" s="9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2:55" ht="18" customHeight="1" x14ac:dyDescent="0.4">
      <c r="B52" s="340" t="s">
        <v>25</v>
      </c>
      <c r="C52" s="341"/>
      <c r="D52" s="12">
        <f ca="1">AR5</f>
        <v>1.9699744507826318</v>
      </c>
      <c r="E52" s="12">
        <f ca="1">AR18</f>
        <v>2.941824061541332</v>
      </c>
      <c r="G52" s="12">
        <f ca="1">AR32</f>
        <v>2.5898946315608709</v>
      </c>
      <c r="H52" s="12">
        <f ca="1">AR45</f>
        <v>1.7982753543295678</v>
      </c>
      <c r="I52" s="329"/>
      <c r="O52" s="88">
        <v>9</v>
      </c>
      <c r="P52" s="93" t="str">
        <f t="shared" ca="1" si="82"/>
        <v>---</v>
      </c>
      <c r="Q52" s="93" t="str">
        <f t="shared" ca="1" si="83"/>
        <v>---</v>
      </c>
      <c r="R52" s="93" t="str">
        <f t="shared" ca="1" si="84"/>
        <v>---</v>
      </c>
      <c r="S52" s="93" t="str">
        <f t="shared" ca="1" si="85"/>
        <v>---</v>
      </c>
      <c r="T52" s="93" t="str">
        <f t="shared" ca="1" si="92"/>
        <v>---</v>
      </c>
      <c r="U52" s="289" t="str">
        <f t="shared" ca="1" si="93"/>
        <v>---</v>
      </c>
      <c r="V52" s="289" t="str">
        <f t="shared" ca="1" si="94"/>
        <v>---</v>
      </c>
      <c r="W52" s="93" t="str">
        <f t="shared" ca="1" si="95"/>
        <v>---</v>
      </c>
      <c r="X52" s="93" t="str">
        <f t="shared" ca="1" si="96"/>
        <v>---</v>
      </c>
      <c r="Y52" s="93" t="str">
        <f t="shared" ca="1" si="97"/>
        <v>---</v>
      </c>
      <c r="Z52" s="290" t="str">
        <f t="shared" ca="1" si="86"/>
        <v>---</v>
      </c>
      <c r="AA52" s="290" t="str">
        <f t="shared" ca="1" si="87"/>
        <v>---</v>
      </c>
      <c r="AB52" s="93" t="str">
        <f t="shared" ca="1" si="98"/>
        <v>--</v>
      </c>
      <c r="AC52" s="291" t="str">
        <f t="shared" ca="1" si="99"/>
        <v>--</v>
      </c>
      <c r="AD52" s="93" t="str">
        <f t="shared" ca="1" si="100"/>
        <v>--</v>
      </c>
      <c r="AE52" s="93" t="str">
        <f t="shared" ca="1" si="101"/>
        <v>---</v>
      </c>
      <c r="AF52" s="93" t="str">
        <f t="shared" ca="1" si="102"/>
        <v>---</v>
      </c>
      <c r="AG52" s="292" t="str">
        <f t="shared" ca="1" si="88"/>
        <v>---</v>
      </c>
      <c r="AH52" s="292" t="str">
        <f t="shared" ca="1" si="89"/>
        <v>---</v>
      </c>
      <c r="AI52" s="292" t="str">
        <f t="shared" ca="1" si="90"/>
        <v>---</v>
      </c>
      <c r="AJ52" s="292" t="str">
        <f t="shared" ca="1" si="91"/>
        <v>---</v>
      </c>
      <c r="AK52" s="293" t="str">
        <f t="shared" ca="1" si="103"/>
        <v>---</v>
      </c>
      <c r="AL52" s="293" t="str">
        <f t="shared" ca="1" si="103"/>
        <v>---</v>
      </c>
      <c r="AM52" s="293" t="str">
        <f t="shared" ca="1" si="103"/>
        <v>---</v>
      </c>
      <c r="AN52" s="294" t="str">
        <f t="shared" ca="1" si="104"/>
        <v>---</v>
      </c>
      <c r="AO52" s="294" t="str">
        <f t="shared" ca="1" si="105"/>
        <v>---</v>
      </c>
      <c r="AP52" s="294" t="str">
        <f t="shared" ca="1" si="106"/>
        <v>---</v>
      </c>
      <c r="AS52" s="41"/>
      <c r="AT52" s="9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2:55" ht="18" customHeight="1" x14ac:dyDescent="0.4">
      <c r="B53" s="340" t="s">
        <v>26</v>
      </c>
      <c r="C53" s="341"/>
      <c r="D53" s="12">
        <f ca="1">AR6</f>
        <v>0.1203580231885604</v>
      </c>
      <c r="E53" s="12">
        <f ca="1">AR19</f>
        <v>0.24898222839811274</v>
      </c>
      <c r="G53" s="12">
        <f ca="1">AR33</f>
        <v>0.35136077953025729</v>
      </c>
      <c r="H53" s="12">
        <f ca="1">AR46</f>
        <v>0.16939534653007812</v>
      </c>
      <c r="I53" s="329"/>
      <c r="O53" s="88">
        <v>10</v>
      </c>
      <c r="P53" s="93" t="str">
        <f t="shared" ca="1" si="82"/>
        <v>---</v>
      </c>
      <c r="Q53" s="93" t="str">
        <f t="shared" ca="1" si="83"/>
        <v>---</v>
      </c>
      <c r="R53" s="93" t="str">
        <f t="shared" ca="1" si="84"/>
        <v>---</v>
      </c>
      <c r="S53" s="93" t="str">
        <f t="shared" ca="1" si="85"/>
        <v>---</v>
      </c>
      <c r="T53" s="93" t="str">
        <f t="shared" ca="1" si="92"/>
        <v>---</v>
      </c>
      <c r="U53" s="289" t="str">
        <f t="shared" ca="1" si="93"/>
        <v>---</v>
      </c>
      <c r="V53" s="289" t="str">
        <f t="shared" ca="1" si="94"/>
        <v>---</v>
      </c>
      <c r="W53" s="93" t="str">
        <f t="shared" ca="1" si="95"/>
        <v>---</v>
      </c>
      <c r="X53" s="93" t="str">
        <f t="shared" ca="1" si="96"/>
        <v>---</v>
      </c>
      <c r="Y53" s="93" t="str">
        <f t="shared" ca="1" si="97"/>
        <v>---</v>
      </c>
      <c r="Z53" s="290" t="str">
        <f t="shared" ca="1" si="86"/>
        <v>---</v>
      </c>
      <c r="AA53" s="290" t="str">
        <f t="shared" ca="1" si="87"/>
        <v>---</v>
      </c>
      <c r="AB53" s="93" t="str">
        <f t="shared" ca="1" si="98"/>
        <v>--</v>
      </c>
      <c r="AC53" s="291" t="str">
        <f t="shared" ca="1" si="99"/>
        <v>--</v>
      </c>
      <c r="AD53" s="93" t="str">
        <f t="shared" ca="1" si="100"/>
        <v>--</v>
      </c>
      <c r="AE53" s="93" t="str">
        <f t="shared" ca="1" si="101"/>
        <v>---</v>
      </c>
      <c r="AF53" s="93" t="str">
        <f t="shared" ca="1" si="102"/>
        <v>---</v>
      </c>
      <c r="AG53" s="292" t="str">
        <f t="shared" ca="1" si="88"/>
        <v>---</v>
      </c>
      <c r="AH53" s="292" t="str">
        <f t="shared" ca="1" si="89"/>
        <v>---</v>
      </c>
      <c r="AI53" s="292" t="str">
        <f t="shared" ca="1" si="90"/>
        <v>---</v>
      </c>
      <c r="AJ53" s="292" t="str">
        <f t="shared" ca="1" si="91"/>
        <v>---</v>
      </c>
      <c r="AK53" s="293" t="str">
        <f t="shared" ca="1" si="103"/>
        <v>---</v>
      </c>
      <c r="AL53" s="293" t="str">
        <f t="shared" ca="1" si="103"/>
        <v>---</v>
      </c>
      <c r="AM53" s="293" t="str">
        <f t="shared" ca="1" si="103"/>
        <v>---</v>
      </c>
      <c r="AN53" s="294" t="str">
        <f t="shared" ca="1" si="104"/>
        <v>---</v>
      </c>
      <c r="AO53" s="294" t="str">
        <f t="shared" ca="1" si="105"/>
        <v>---</v>
      </c>
      <c r="AP53" s="294" t="str">
        <f t="shared" ca="1" si="106"/>
        <v>---</v>
      </c>
      <c r="AS53" s="41"/>
      <c r="AT53" s="9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2:55" ht="18" customHeight="1" x14ac:dyDescent="0.4">
      <c r="I54" s="329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2:55" ht="18" customHeight="1" x14ac:dyDescent="0.4">
      <c r="D55" s="24" t="str">
        <f>IF(D51&gt;=2.5,"Большая скорость потока!","")</f>
        <v/>
      </c>
      <c r="E55" s="24" t="str">
        <f>IF(E51&gt;=2.5,"Большая скорость потока!","")</f>
        <v/>
      </c>
      <c r="F55" s="24"/>
      <c r="I55" s="329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2:55" ht="18" hidden="1" customHeight="1" x14ac:dyDescent="0.4">
      <c r="I56" s="329"/>
      <c r="K56" s="352"/>
      <c r="AR56" s="349"/>
      <c r="AS56" s="258"/>
      <c r="AT56" s="258"/>
      <c r="AU56" s="258"/>
      <c r="AV56" s="258"/>
      <c r="AW56" s="349"/>
      <c r="AX56" s="349"/>
      <c r="AY56" s="258"/>
      <c r="AZ56" s="258"/>
      <c r="BA56" s="258"/>
      <c r="BB56" s="258"/>
      <c r="BC56" s="349"/>
    </row>
    <row r="57" spans="2:55" ht="18" hidden="1" customHeight="1" x14ac:dyDescent="0.3">
      <c r="I57" s="8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</row>
    <row r="58" spans="2:55" ht="18" hidden="1" customHeight="1" x14ac:dyDescent="0.3">
      <c r="I58" s="8"/>
      <c r="J58" s="352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2:55" ht="18" hidden="1" customHeight="1" x14ac:dyDescent="0.3"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2:55" ht="18" hidden="1" customHeight="1" x14ac:dyDescent="0.3"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</row>
    <row r="61" spans="2:55" ht="18" hidden="1" customHeight="1" x14ac:dyDescent="0.3">
      <c r="C61" s="6" t="s">
        <v>19</v>
      </c>
      <c r="D61" s="23">
        <f>0.00000178/(1+0.0337*$D$46+0.000221*$D$46^2)</f>
        <v>1.9526322140435939E-7</v>
      </c>
      <c r="E61" s="23">
        <f>0.00000178/(1+0.0337*$E$46+0.000221*$E$46^2)</f>
        <v>4.0072941759157111E-7</v>
      </c>
      <c r="G61" s="23">
        <f>0.00000178/(1+0.0337*$G$46+0.000221*$G$46^2)</f>
        <v>3.7311672998820908E-7</v>
      </c>
      <c r="H61" s="23">
        <f>0.00000178/(1+0.0337*$H$46+0.000221*$H$46^2)</f>
        <v>4.6626152556580045E-7</v>
      </c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</row>
    <row r="62" spans="2:55" ht="18" hidden="1" customHeight="1" x14ac:dyDescent="0.3"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</row>
    <row r="63" spans="2:55" ht="18" hidden="1" customHeight="1" x14ac:dyDescent="0.3">
      <c r="D63" s="354" t="str">
        <f>"Тр1 DN"&amp;D33</f>
        <v>Тр1 DN80</v>
      </c>
      <c r="E63" s="354" t="str">
        <f>"Тр2 DN"&amp;E33</f>
        <v>Тр2 DN80</v>
      </c>
      <c r="G63" s="354" t="str">
        <f>"Тр3 DN"&amp;G33</f>
        <v>Тр3 DN50</v>
      </c>
      <c r="H63" s="354" t="str">
        <f>"Тр4 DN"&amp;H33</f>
        <v>Тр4 DN50</v>
      </c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</row>
    <row r="64" spans="2:55" ht="18" hidden="1" customHeight="1" x14ac:dyDescent="0.3"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</row>
    <row r="65" spans="1:59" ht="18" hidden="1" customHeight="1" x14ac:dyDescent="0.3">
      <c r="D65" s="355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1"/>
      <c r="BD65" s="8"/>
      <c r="BE65" s="8"/>
      <c r="BF65" s="8"/>
      <c r="BG65" s="8"/>
    </row>
    <row r="66" spans="1:59" ht="18" hidden="1" customHeight="1" x14ac:dyDescent="0.3">
      <c r="D66" s="355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8"/>
      <c r="BE66" s="8"/>
      <c r="BF66" s="8"/>
      <c r="BG66" s="8"/>
    </row>
    <row r="67" spans="1:59" ht="18" hidden="1" customHeight="1" x14ac:dyDescent="0.3">
      <c r="C67" s="91"/>
      <c r="D67" s="92" t="s">
        <v>140</v>
      </c>
      <c r="E67" s="92" t="s">
        <v>152</v>
      </c>
      <c r="F67" s="91"/>
      <c r="G67" s="92" t="s">
        <v>153</v>
      </c>
      <c r="H67" s="92" t="s">
        <v>154</v>
      </c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8"/>
      <c r="BE67" s="8"/>
      <c r="BF67" s="8"/>
      <c r="BG67" s="8"/>
    </row>
    <row r="68" spans="1:59" ht="18" hidden="1" customHeight="1" x14ac:dyDescent="0.3">
      <c r="C68" s="93" t="s">
        <v>146</v>
      </c>
      <c r="D68" s="399">
        <f>D46+273.15</f>
        <v>403.15</v>
      </c>
      <c r="E68" s="399">
        <f>E46+273.15</f>
        <v>343.15</v>
      </c>
      <c r="F68" s="91"/>
      <c r="G68" s="399">
        <f>G46+273.15</f>
        <v>348.15</v>
      </c>
      <c r="H68" s="399">
        <f>H46+273.15</f>
        <v>333.15</v>
      </c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8"/>
      <c r="BE68" s="8"/>
      <c r="BF68" s="8"/>
      <c r="BG68" s="8"/>
    </row>
    <row r="69" spans="1:59" ht="18" hidden="1" customHeight="1" x14ac:dyDescent="0.3">
      <c r="C69" s="93" t="s">
        <v>147</v>
      </c>
      <c r="D69" s="93">
        <f>D34*0.0980665</f>
        <v>0.68646549999999995</v>
      </c>
      <c r="E69" s="93">
        <f>E34*0.0980665</f>
        <v>0.4903325</v>
      </c>
      <c r="F69" s="91"/>
      <c r="G69" s="93">
        <f>G34*0.0980665</f>
        <v>0.68646549999999995</v>
      </c>
      <c r="H69" s="93">
        <f>H34*0.0980665</f>
        <v>0.4903325</v>
      </c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1:59" ht="18" hidden="1" customHeight="1" x14ac:dyDescent="0.3">
      <c r="C70" s="400" t="s">
        <v>148</v>
      </c>
      <c r="D70" s="93">
        <f>1386/D68</f>
        <v>3.4379263301500682</v>
      </c>
      <c r="E70" s="93">
        <f>1386/E68</f>
        <v>4.0390499781436695</v>
      </c>
      <c r="F70" s="91"/>
      <c r="G70" s="93">
        <f>1386/G68</f>
        <v>3.9810426540284363</v>
      </c>
      <c r="H70" s="93">
        <f>1386/H68</f>
        <v>4.1602881584871678</v>
      </c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1:59" ht="18" hidden="1" customHeight="1" x14ac:dyDescent="0.4">
      <c r="C71" s="400" t="s">
        <v>149</v>
      </c>
      <c r="D71" s="93">
        <f>D69/16.53</f>
        <v>4.1528463399879E-2</v>
      </c>
      <c r="E71" s="93">
        <f>E69/16.53</f>
        <v>2.9663188142770719E-2</v>
      </c>
      <c r="F71" s="91"/>
      <c r="G71" s="93">
        <f>G69/16.53</f>
        <v>4.1528463399879E-2</v>
      </c>
      <c r="H71" s="93">
        <f>H69/16.53</f>
        <v>2.9663188142770719E-2</v>
      </c>
      <c r="AR71" s="383"/>
      <c r="AS71" s="383"/>
      <c r="AT71" s="383"/>
      <c r="AU71" s="383"/>
      <c r="AV71" s="41"/>
      <c r="AW71" s="41"/>
      <c r="AX71" s="41"/>
      <c r="AY71" s="41"/>
      <c r="AZ71" s="41"/>
      <c r="BA71" s="41"/>
      <c r="BB71" s="41"/>
      <c r="BC71" s="41"/>
    </row>
    <row r="72" spans="1:59" ht="18" hidden="1" customHeight="1" x14ac:dyDescent="0.4">
      <c r="C72" s="401" t="s">
        <v>150</v>
      </c>
      <c r="D72" s="401">
        <f>D71*H115*F115*D68/D69</f>
        <v>1.0694638104050829</v>
      </c>
      <c r="E72" s="401">
        <f>E71*I115*F115*E68/E69</f>
        <v>1.0225467089744245</v>
      </c>
      <c r="F72" s="91"/>
      <c r="G72" s="402">
        <f>G71*J115*F115*G68/G69</f>
        <v>1.0255191554455854</v>
      </c>
      <c r="H72" s="402">
        <f>H71*K115*F115*H68/H69</f>
        <v>1.0169007556128034</v>
      </c>
      <c r="AR72" s="393"/>
      <c r="AS72" s="41"/>
      <c r="AT72" s="393"/>
      <c r="AU72" s="393"/>
      <c r="AV72" s="41"/>
      <c r="AW72" s="41"/>
      <c r="AX72" s="41"/>
      <c r="AY72" s="41"/>
      <c r="AZ72" s="41"/>
      <c r="BA72" s="41"/>
      <c r="BB72" s="41"/>
      <c r="BC72" s="41"/>
    </row>
    <row r="73" spans="1:59" ht="18" hidden="1" customHeight="1" x14ac:dyDescent="0.3">
      <c r="A73" s="8"/>
      <c r="B73" s="8"/>
      <c r="C73" s="93"/>
      <c r="D73" s="403">
        <f>1/D72*1000</f>
        <v>935.0480028129499</v>
      </c>
      <c r="E73" s="403">
        <f>1/E72*1000</f>
        <v>977.95043612527195</v>
      </c>
      <c r="F73" s="91"/>
      <c r="G73" s="403">
        <f>1/G72*1000</f>
        <v>975.11586662221112</v>
      </c>
      <c r="H73" s="403">
        <f>1/H72*1000</f>
        <v>983.3801327027054</v>
      </c>
      <c r="AR73" s="394"/>
      <c r="AS73" s="41"/>
      <c r="AT73" s="394"/>
      <c r="AU73" s="394"/>
      <c r="AV73" s="41"/>
      <c r="AW73" s="41"/>
      <c r="AX73" s="41"/>
      <c r="AY73" s="41"/>
      <c r="AZ73" s="41"/>
      <c r="BA73" s="41"/>
      <c r="BB73" s="41"/>
      <c r="BC73" s="41"/>
    </row>
    <row r="74" spans="1:59" ht="18" hidden="1" customHeight="1" x14ac:dyDescent="0.35">
      <c r="A74" s="8"/>
      <c r="B74" s="8"/>
      <c r="AR74" s="338"/>
      <c r="AS74" s="41"/>
      <c r="AT74" s="316"/>
      <c r="AU74" s="338"/>
      <c r="AV74" s="41"/>
      <c r="AW74" s="41"/>
      <c r="AX74" s="41"/>
      <c r="AY74" s="41"/>
      <c r="AZ74" s="41"/>
      <c r="BA74" s="41"/>
      <c r="BB74" s="41"/>
      <c r="BC74" s="41"/>
    </row>
    <row r="75" spans="1:59" ht="18" hidden="1" customHeight="1" x14ac:dyDescent="0.3">
      <c r="A75" s="8"/>
      <c r="B75" s="8"/>
      <c r="AR75" s="9"/>
      <c r="AS75" s="41"/>
      <c r="AT75" s="9"/>
      <c r="AU75" s="9"/>
      <c r="AV75" s="41"/>
      <c r="AW75" s="41"/>
      <c r="AX75" s="41"/>
      <c r="AY75" s="41"/>
      <c r="AZ75" s="41"/>
      <c r="BA75" s="41"/>
      <c r="BB75" s="41"/>
      <c r="BC75" s="41"/>
    </row>
    <row r="76" spans="1:59" ht="18" hidden="1" customHeight="1" x14ac:dyDescent="0.3">
      <c r="A76" s="8"/>
      <c r="B76" s="8"/>
      <c r="AR76" s="41"/>
      <c r="AS76" s="41"/>
      <c r="AT76" s="10"/>
      <c r="AU76" s="10"/>
      <c r="AV76" s="41"/>
      <c r="AW76" s="41"/>
      <c r="AX76" s="41"/>
      <c r="AY76" s="41"/>
      <c r="AZ76" s="41"/>
      <c r="BA76" s="41"/>
      <c r="BB76" s="41"/>
      <c r="BC76" s="41"/>
    </row>
    <row r="77" spans="1:59" ht="18" hidden="1" customHeight="1" x14ac:dyDescent="0.3">
      <c r="A77" s="8"/>
      <c r="B77" s="8"/>
      <c r="AR77" s="10"/>
      <c r="AS77" s="41"/>
      <c r="AT77" s="10"/>
      <c r="AU77" s="10"/>
      <c r="AV77" s="41"/>
      <c r="AW77" s="41"/>
      <c r="AX77" s="41"/>
      <c r="AY77" s="41"/>
      <c r="AZ77" s="41"/>
      <c r="BA77" s="41"/>
      <c r="BB77" s="41"/>
      <c r="BC77" s="41"/>
    </row>
    <row r="78" spans="1:59" ht="18" hidden="1" customHeight="1" x14ac:dyDescent="0.3">
      <c r="A78" s="8"/>
      <c r="B78" s="8"/>
      <c r="AR78" s="41"/>
      <c r="AS78" s="41"/>
      <c r="AT78" s="10"/>
      <c r="AU78" s="10"/>
      <c r="AV78" s="41"/>
      <c r="AW78" s="41"/>
      <c r="AX78" s="41"/>
      <c r="AY78" s="41"/>
      <c r="AZ78" s="41"/>
      <c r="BA78" s="41"/>
      <c r="BB78" s="41"/>
      <c r="BC78" s="41"/>
    </row>
    <row r="79" spans="1:59" ht="18" hidden="1" customHeight="1" x14ac:dyDescent="0.3">
      <c r="A79" s="8"/>
      <c r="B79" s="8"/>
      <c r="AR79" s="10"/>
      <c r="AS79" s="41"/>
      <c r="AT79" s="10"/>
      <c r="AU79" s="10"/>
      <c r="AV79" s="41"/>
      <c r="AW79" s="41"/>
      <c r="AX79" s="41"/>
      <c r="AY79" s="41"/>
      <c r="AZ79" s="41"/>
      <c r="BA79" s="41"/>
      <c r="BB79" s="41"/>
      <c r="BC79" s="41"/>
    </row>
    <row r="80" spans="1:59" ht="18" hidden="1" customHeight="1" x14ac:dyDescent="0.5">
      <c r="A80" s="8"/>
      <c r="B80" s="8"/>
      <c r="C80" s="370" t="s">
        <v>141</v>
      </c>
      <c r="D80" s="370" t="s">
        <v>142</v>
      </c>
      <c r="E80" s="370" t="s">
        <v>143</v>
      </c>
      <c r="F80" s="371" t="s">
        <v>144</v>
      </c>
      <c r="G80" s="372"/>
      <c r="H80" s="373" t="s">
        <v>145</v>
      </c>
      <c r="I80" s="373" t="s">
        <v>145</v>
      </c>
      <c r="J80" s="373" t="s">
        <v>145</v>
      </c>
      <c r="K80" s="373" t="s">
        <v>145</v>
      </c>
      <c r="AR80" s="10"/>
      <c r="AS80" s="41"/>
      <c r="AT80" s="10"/>
      <c r="AU80" s="10"/>
      <c r="AV80" s="41"/>
      <c r="AW80" s="41"/>
      <c r="AX80" s="41"/>
      <c r="AY80" s="41"/>
      <c r="AZ80" s="41"/>
      <c r="BA80" s="41"/>
      <c r="BB80" s="41"/>
      <c r="BC80" s="41"/>
    </row>
    <row r="81" spans="1:55" ht="18" hidden="1" customHeight="1" x14ac:dyDescent="0.3">
      <c r="A81" s="8"/>
      <c r="B81" s="8"/>
      <c r="C81" s="357">
        <v>1</v>
      </c>
      <c r="D81" s="357">
        <v>0</v>
      </c>
      <c r="E81" s="357">
        <v>-2</v>
      </c>
      <c r="F81" s="374">
        <v>0.14632971213167001</v>
      </c>
      <c r="G81" s="375"/>
      <c r="H81" s="376">
        <f t="shared" ref="H81:H114" si="107">-F81*D81*(7.1-$D$71)^(D81-1)*($D$70-1.222)^E81</f>
        <v>0</v>
      </c>
      <c r="I81" s="376">
        <f>-F81*D81*(7.1-$E$71)^(D81-1)*($E$70-1.222)^E81</f>
        <v>0</v>
      </c>
      <c r="J81" s="377">
        <f>-F81*D81*(7.1-$G$71)^(D81-1)*($G$70-1.222)^E81</f>
        <v>0</v>
      </c>
      <c r="K81" s="377">
        <f>-F81*D81*(7.1-$H$71)^(D81-1)*($H$70-1.222)^E81</f>
        <v>0</v>
      </c>
      <c r="AR81" s="10"/>
      <c r="AS81" s="41"/>
      <c r="AT81" s="10"/>
      <c r="AU81" s="10"/>
      <c r="AV81" s="41"/>
      <c r="AW81" s="41"/>
      <c r="AX81" s="41"/>
      <c r="AY81" s="41"/>
      <c r="AZ81" s="41"/>
      <c r="BA81" s="41"/>
      <c r="BB81" s="41"/>
      <c r="BC81" s="41"/>
    </row>
    <row r="82" spans="1:55" ht="18" hidden="1" customHeight="1" x14ac:dyDescent="0.3">
      <c r="A82" s="8"/>
      <c r="B82" s="8"/>
      <c r="C82" s="357">
        <v>2</v>
      </c>
      <c r="D82" s="357">
        <v>0</v>
      </c>
      <c r="E82" s="357">
        <v>-1</v>
      </c>
      <c r="F82" s="374">
        <v>-0.84548187169113997</v>
      </c>
      <c r="G82" s="375"/>
      <c r="H82" s="376">
        <f t="shared" si="107"/>
        <v>0</v>
      </c>
      <c r="I82" s="376">
        <f t="shared" ref="I82:I114" si="108">-F82*D82*(7.1-$E$71)^(D82-1)*($E$70-1.222)^E82</f>
        <v>0</v>
      </c>
      <c r="J82" s="377">
        <f t="shared" ref="J82:J114" si="109">-F82*D82*(7.1-$G$71)^(D82-1)*($G$70-1.222)^E82</f>
        <v>0</v>
      </c>
      <c r="K82" s="377">
        <f t="shared" ref="K82:K114" si="110">-F82*D82*(7.1-$H$71)^(D82-1)*($H$70-1.222)^E82</f>
        <v>0</v>
      </c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1:55" ht="18" hidden="1" customHeight="1" x14ac:dyDescent="0.3">
      <c r="A83" s="8"/>
      <c r="B83" s="8"/>
      <c r="C83" s="357">
        <v>3</v>
      </c>
      <c r="D83" s="357">
        <v>0</v>
      </c>
      <c r="E83" s="357">
        <v>0</v>
      </c>
      <c r="F83" s="374">
        <v>-3.756360367204</v>
      </c>
      <c r="G83" s="375"/>
      <c r="H83" s="376">
        <f t="shared" si="107"/>
        <v>0</v>
      </c>
      <c r="I83" s="376">
        <f t="shared" si="108"/>
        <v>0</v>
      </c>
      <c r="J83" s="377">
        <f t="shared" si="109"/>
        <v>0</v>
      </c>
      <c r="K83" s="377">
        <f t="shared" si="110"/>
        <v>0</v>
      </c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1:55" ht="18" hidden="1" customHeight="1" x14ac:dyDescent="0.3">
      <c r="A84" s="8"/>
      <c r="B84" s="8"/>
      <c r="C84" s="357">
        <v>4</v>
      </c>
      <c r="D84" s="357">
        <v>0</v>
      </c>
      <c r="E84" s="357">
        <v>1</v>
      </c>
      <c r="F84" s="374">
        <v>3.3855169168385002</v>
      </c>
      <c r="G84" s="375"/>
      <c r="H84" s="376">
        <f t="shared" si="107"/>
        <v>0</v>
      </c>
      <c r="I84" s="376">
        <f t="shared" si="108"/>
        <v>0</v>
      </c>
      <c r="J84" s="377">
        <f t="shared" si="109"/>
        <v>0</v>
      </c>
      <c r="K84" s="377">
        <f t="shared" si="110"/>
        <v>0</v>
      </c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1:55" ht="18" hidden="1" customHeight="1" x14ac:dyDescent="0.3">
      <c r="A85" s="8"/>
      <c r="B85" s="8"/>
      <c r="C85" s="357">
        <v>5</v>
      </c>
      <c r="D85" s="357">
        <v>0</v>
      </c>
      <c r="E85" s="357">
        <v>2</v>
      </c>
      <c r="F85" s="374">
        <v>-0.95791963387872003</v>
      </c>
      <c r="G85" s="375"/>
      <c r="H85" s="376">
        <f t="shared" si="107"/>
        <v>0</v>
      </c>
      <c r="I85" s="376">
        <f t="shared" si="108"/>
        <v>0</v>
      </c>
      <c r="J85" s="377">
        <f t="shared" si="109"/>
        <v>0</v>
      </c>
      <c r="K85" s="377">
        <f t="shared" si="110"/>
        <v>0</v>
      </c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1:55" ht="18" hidden="1" customHeight="1" x14ac:dyDescent="0.3">
      <c r="C86" s="357">
        <v>6</v>
      </c>
      <c r="D86" s="357">
        <v>0</v>
      </c>
      <c r="E86" s="357">
        <v>3</v>
      </c>
      <c r="F86" s="374">
        <v>0.15772038513228001</v>
      </c>
      <c r="G86" s="375"/>
      <c r="H86" s="376">
        <f t="shared" si="107"/>
        <v>0</v>
      </c>
      <c r="I86" s="376">
        <f t="shared" si="108"/>
        <v>0</v>
      </c>
      <c r="J86" s="377">
        <f t="shared" si="109"/>
        <v>0</v>
      </c>
      <c r="K86" s="377">
        <f t="shared" si="110"/>
        <v>0</v>
      </c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55" ht="18" hidden="1" customHeight="1" x14ac:dyDescent="0.3">
      <c r="C87" s="357">
        <v>7</v>
      </c>
      <c r="D87" s="357">
        <v>0</v>
      </c>
      <c r="E87" s="357">
        <v>4</v>
      </c>
      <c r="F87" s="374">
        <v>-1.6616417199501E-2</v>
      </c>
      <c r="G87" s="375"/>
      <c r="H87" s="376">
        <f t="shared" si="107"/>
        <v>0</v>
      </c>
      <c r="I87" s="376">
        <f t="shared" si="108"/>
        <v>0</v>
      </c>
      <c r="J87" s="377">
        <f t="shared" si="109"/>
        <v>0</v>
      </c>
      <c r="K87" s="377">
        <f t="shared" si="110"/>
        <v>0</v>
      </c>
      <c r="AR87" s="349"/>
      <c r="AS87" s="258"/>
      <c r="AT87" s="258"/>
      <c r="AU87" s="258"/>
      <c r="AV87" s="258"/>
      <c r="AW87" s="349"/>
      <c r="AX87" s="349"/>
      <c r="AY87" s="258"/>
      <c r="AZ87" s="258"/>
      <c r="BA87" s="258"/>
      <c r="BB87" s="258"/>
      <c r="BC87" s="349"/>
    </row>
    <row r="88" spans="1:55" ht="18" hidden="1" customHeight="1" x14ac:dyDescent="0.3">
      <c r="C88" s="357">
        <v>8</v>
      </c>
      <c r="D88" s="357">
        <v>0</v>
      </c>
      <c r="E88" s="357">
        <v>5</v>
      </c>
      <c r="F88" s="374">
        <v>8.1214629983567997E-4</v>
      </c>
      <c r="G88" s="375"/>
      <c r="H88" s="376">
        <f t="shared" si="107"/>
        <v>0</v>
      </c>
      <c r="I88" s="376">
        <f t="shared" si="108"/>
        <v>0</v>
      </c>
      <c r="J88" s="377">
        <f t="shared" si="109"/>
        <v>0</v>
      </c>
      <c r="K88" s="377">
        <f t="shared" si="110"/>
        <v>0</v>
      </c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</row>
    <row r="89" spans="1:55" ht="18" hidden="1" customHeight="1" x14ac:dyDescent="0.3">
      <c r="C89" s="357">
        <v>9</v>
      </c>
      <c r="D89" s="357">
        <v>1</v>
      </c>
      <c r="E89" s="357">
        <v>-9</v>
      </c>
      <c r="F89" s="374">
        <v>2.8319080123804E-4</v>
      </c>
      <c r="G89" s="375"/>
      <c r="H89" s="376">
        <f t="shared" si="107"/>
        <v>-2.1982712553496113E-7</v>
      </c>
      <c r="I89" s="376">
        <f>-F89*D89*(7.1-$E$71)^(D89-1)*($E$70-1.222)^E89</f>
        <v>-2.534709392903721E-8</v>
      </c>
      <c r="J89" s="377">
        <f>-F89*D89*(7.1-$G$71)^(D89-1)*($G$70-1.222)^E89</f>
        <v>-3.0567041798351034E-8</v>
      </c>
      <c r="K89" s="377">
        <f t="shared" si="110"/>
        <v>-1.7347211690283853E-8</v>
      </c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1:55" ht="18" hidden="1" customHeight="1" x14ac:dyDescent="0.3">
      <c r="C90" s="357">
        <v>10</v>
      </c>
      <c r="D90" s="357">
        <v>1</v>
      </c>
      <c r="E90" s="357">
        <v>-7</v>
      </c>
      <c r="F90" s="374">
        <v>-6.0706301565873996E-4</v>
      </c>
      <c r="G90" s="375"/>
      <c r="H90" s="376">
        <f t="shared" si="107"/>
        <v>2.313910461771335E-6</v>
      </c>
      <c r="I90" s="376">
        <f t="shared" si="108"/>
        <v>4.3119320756857168E-7</v>
      </c>
      <c r="J90" s="377">
        <f t="shared" si="109"/>
        <v>4.9879819446931661E-7</v>
      </c>
      <c r="K90" s="377">
        <f t="shared" si="110"/>
        <v>3.2105030052185256E-7</v>
      </c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1:55" ht="18" hidden="1" customHeight="1" x14ac:dyDescent="0.3">
      <c r="C91" s="357">
        <v>11</v>
      </c>
      <c r="D91" s="357">
        <v>1</v>
      </c>
      <c r="E91" s="357">
        <v>-1</v>
      </c>
      <c r="F91" s="374">
        <v>-1.8990068218419E-2</v>
      </c>
      <c r="G91" s="375"/>
      <c r="H91" s="376">
        <f t="shared" si="107"/>
        <v>8.569810268526816E-3</v>
      </c>
      <c r="I91" s="376">
        <f t="shared" si="108"/>
        <v>6.7411186758329173E-3</v>
      </c>
      <c r="J91" s="377">
        <f t="shared" si="109"/>
        <v>6.8828469145599796E-3</v>
      </c>
      <c r="K91" s="377">
        <f t="shared" si="110"/>
        <v>6.4629699995783904E-3</v>
      </c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</row>
    <row r="92" spans="1:55" ht="15" hidden="1" x14ac:dyDescent="0.3">
      <c r="C92" s="357">
        <v>12</v>
      </c>
      <c r="D92" s="357">
        <v>1</v>
      </c>
      <c r="E92" s="357">
        <v>0</v>
      </c>
      <c r="F92" s="374">
        <v>-3.2529748770504997E-2</v>
      </c>
      <c r="G92" s="375"/>
      <c r="H92" s="376">
        <f t="shared" si="107"/>
        <v>3.2529748770504997E-2</v>
      </c>
      <c r="I92" s="376">
        <f t="shared" si="108"/>
        <v>3.2529748770504997E-2</v>
      </c>
      <c r="J92" s="377">
        <f t="shared" si="109"/>
        <v>3.2529748770504997E-2</v>
      </c>
      <c r="K92" s="377">
        <f t="shared" si="110"/>
        <v>3.2529748770504997E-2</v>
      </c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</row>
    <row r="93" spans="1:55" ht="15" hidden="1" x14ac:dyDescent="0.3">
      <c r="C93" s="357">
        <v>13</v>
      </c>
      <c r="D93" s="357">
        <v>1</v>
      </c>
      <c r="E93" s="357">
        <v>1</v>
      </c>
      <c r="F93" s="374">
        <v>-2.1841717175413999E-2</v>
      </c>
      <c r="G93" s="375"/>
      <c r="H93" s="376">
        <f t="shared" si="107"/>
        <v>4.8399636184690856E-2</v>
      </c>
      <c r="I93" s="376">
        <f t="shared" si="108"/>
        <v>6.1529208891620217E-2</v>
      </c>
      <c r="J93" s="377">
        <f t="shared" si="109"/>
        <v>6.0262229324192722E-2</v>
      </c>
      <c r="K93" s="377">
        <f t="shared" si="110"/>
        <v>6.4177258937544751E-2</v>
      </c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</row>
    <row r="94" spans="1:55" ht="15" hidden="1" x14ac:dyDescent="0.3">
      <c r="C94" s="357">
        <v>14</v>
      </c>
      <c r="D94" s="357">
        <v>1</v>
      </c>
      <c r="E94" s="357">
        <v>3</v>
      </c>
      <c r="F94" s="374">
        <v>-5.2838357969930002E-5</v>
      </c>
      <c r="G94" s="375"/>
      <c r="H94" s="376">
        <f t="shared" si="107"/>
        <v>5.7493039144052808E-4</v>
      </c>
      <c r="I94" s="376">
        <f t="shared" si="108"/>
        <v>1.1812259215529407E-3</v>
      </c>
      <c r="J94" s="377">
        <f t="shared" si="109"/>
        <v>1.1097484742839572E-3</v>
      </c>
      <c r="K94" s="377">
        <f t="shared" si="110"/>
        <v>1.340393976333466E-3</v>
      </c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</row>
    <row r="95" spans="1:55" ht="15" hidden="1" x14ac:dyDescent="0.3">
      <c r="C95" s="357">
        <v>15</v>
      </c>
      <c r="D95" s="357">
        <v>2</v>
      </c>
      <c r="E95" s="357">
        <v>-3</v>
      </c>
      <c r="F95" s="374">
        <v>-4.7184321073266998E-4</v>
      </c>
      <c r="G95" s="375"/>
      <c r="H95" s="376">
        <f t="shared" si="107"/>
        <v>6.1217053196458609E-4</v>
      </c>
      <c r="I95" s="376">
        <f t="shared" si="108"/>
        <v>2.9845863815808034E-4</v>
      </c>
      <c r="J95" s="377">
        <f t="shared" si="109"/>
        <v>3.1714884203634338E-4</v>
      </c>
      <c r="K95" s="377">
        <f t="shared" si="110"/>
        <v>2.6301750539649299E-4</v>
      </c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</row>
    <row r="96" spans="1:55" ht="15" hidden="1" x14ac:dyDescent="0.3">
      <c r="C96" s="357">
        <v>16</v>
      </c>
      <c r="D96" s="357">
        <v>2</v>
      </c>
      <c r="E96" s="357">
        <v>0</v>
      </c>
      <c r="F96" s="374">
        <v>-3.0001780793025999E-4</v>
      </c>
      <c r="G96" s="375"/>
      <c r="H96" s="376">
        <f t="shared" si="107"/>
        <v>4.2353343154978044E-3</v>
      </c>
      <c r="I96" s="376">
        <f t="shared" si="108"/>
        <v>4.2424539032440579E-3</v>
      </c>
      <c r="J96" s="377">
        <f t="shared" si="109"/>
        <v>4.2353343154978044E-3</v>
      </c>
      <c r="K96" s="377">
        <f t="shared" si="110"/>
        <v>4.2424539032440579E-3</v>
      </c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</row>
    <row r="97" spans="3:55" ht="15.45" hidden="1" x14ac:dyDescent="0.3">
      <c r="C97" s="357">
        <v>17</v>
      </c>
      <c r="D97" s="357">
        <v>2</v>
      </c>
      <c r="E97" s="357">
        <v>1</v>
      </c>
      <c r="F97" s="374">
        <v>4.7661393906987001E-5</v>
      </c>
      <c r="G97" s="375"/>
      <c r="H97" s="376">
        <f t="shared" si="107"/>
        <v>-1.4909487694969308E-3</v>
      </c>
      <c r="I97" s="376">
        <f t="shared" si="108"/>
        <v>-1.8985908790791187E-3</v>
      </c>
      <c r="J97" s="377">
        <f t="shared" si="109"/>
        <v>-1.8563754552863045E-3</v>
      </c>
      <c r="K97" s="377">
        <f t="shared" si="110"/>
        <v>-1.9803010742060066E-3</v>
      </c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</row>
    <row r="98" spans="3:55" ht="15" hidden="1" x14ac:dyDescent="0.3">
      <c r="C98" s="357">
        <v>18</v>
      </c>
      <c r="D98" s="357">
        <v>2</v>
      </c>
      <c r="E98" s="357">
        <v>3</v>
      </c>
      <c r="F98" s="374">
        <v>-4.4141845330845997E-6</v>
      </c>
      <c r="G98" s="375"/>
      <c r="H98" s="376">
        <f t="shared" si="107"/>
        <v>6.7804278937263411E-4</v>
      </c>
      <c r="I98" s="376">
        <f t="shared" si="108"/>
        <v>1.3954177381040739E-3</v>
      </c>
      <c r="J98" s="377">
        <f t="shared" si="109"/>
        <v>1.3087792230293933E-3</v>
      </c>
      <c r="K98" s="377">
        <f t="shared" si="110"/>
        <v>1.5834477524541372E-3</v>
      </c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41"/>
    </row>
    <row r="99" spans="3:55" hidden="1" x14ac:dyDescent="0.3">
      <c r="C99" s="357">
        <v>19</v>
      </c>
      <c r="D99" s="357">
        <v>2</v>
      </c>
      <c r="E99" s="357">
        <v>17</v>
      </c>
      <c r="F99" s="374">
        <v>-7.2694996297594001E-16</v>
      </c>
      <c r="G99" s="375"/>
      <c r="H99" s="376">
        <f t="shared" si="107"/>
        <v>7.6857381932593675E-9</v>
      </c>
      <c r="I99" s="376">
        <f t="shared" si="108"/>
        <v>4.5549330865626397E-7</v>
      </c>
      <c r="J99" s="377">
        <f>-F99*D99*(7.1-$G$71)^(D99-1)*($G$70-1.222)^E99</f>
        <v>3.1925538427977562E-7</v>
      </c>
      <c r="K99" s="377">
        <f t="shared" si="110"/>
        <v>9.323503977087614E-7</v>
      </c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</row>
    <row r="100" spans="3:55" hidden="1" x14ac:dyDescent="0.3">
      <c r="C100" s="357">
        <v>20</v>
      </c>
      <c r="D100" s="357">
        <v>3</v>
      </c>
      <c r="E100" s="357">
        <v>-4</v>
      </c>
      <c r="F100" s="374">
        <v>-3.1679644845054002E-5</v>
      </c>
      <c r="G100" s="375"/>
      <c r="H100" s="376">
        <f t="shared" si="107"/>
        <v>1.9638197471263637E-4</v>
      </c>
      <c r="I100" s="376">
        <f t="shared" si="108"/>
        <v>7.5440326038403533E-5</v>
      </c>
      <c r="J100" s="377">
        <f t="shared" si="109"/>
        <v>8.17126388526265E-5</v>
      </c>
      <c r="K100" s="377">
        <f t="shared" si="110"/>
        <v>6.3738850240347927E-5</v>
      </c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</row>
    <row r="101" spans="3:55" hidden="1" x14ac:dyDescent="0.3">
      <c r="C101" s="357">
        <v>21</v>
      </c>
      <c r="D101" s="357">
        <v>3</v>
      </c>
      <c r="E101" s="357">
        <v>0</v>
      </c>
      <c r="F101" s="374">
        <v>-2.8270797985312E-6</v>
      </c>
      <c r="G101" s="375"/>
      <c r="H101" s="376">
        <f t="shared" si="107"/>
        <v>4.2255248246437864E-4</v>
      </c>
      <c r="I101" s="376">
        <f t="shared" si="108"/>
        <v>4.2397429609631021E-4</v>
      </c>
      <c r="J101" s="377">
        <f t="shared" si="109"/>
        <v>4.2255248246437864E-4</v>
      </c>
      <c r="K101" s="377">
        <f t="shared" si="110"/>
        <v>4.2397429609631021E-4</v>
      </c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</row>
    <row r="102" spans="3:55" hidden="1" x14ac:dyDescent="0.3">
      <c r="C102" s="357">
        <v>22</v>
      </c>
      <c r="D102" s="357">
        <v>3</v>
      </c>
      <c r="E102" s="357">
        <v>6</v>
      </c>
      <c r="F102" s="374">
        <v>-8.5205128120103004E-10</v>
      </c>
      <c r="G102" s="375"/>
      <c r="H102" s="376">
        <f t="shared" si="107"/>
        <v>1.5077878225974695E-5</v>
      </c>
      <c r="I102" s="376">
        <f t="shared" si="108"/>
        <v>6.3860822298248741E-5</v>
      </c>
      <c r="J102" s="377">
        <f t="shared" si="109"/>
        <v>5.6177034750017514E-5</v>
      </c>
      <c r="K102" s="377">
        <f t="shared" si="110"/>
        <v>8.2230608436923474E-5</v>
      </c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3:55" hidden="1" x14ac:dyDescent="0.3">
      <c r="C103" s="357">
        <v>23</v>
      </c>
      <c r="D103" s="357">
        <v>4</v>
      </c>
      <c r="E103" s="357">
        <v>-5</v>
      </c>
      <c r="F103" s="374">
        <v>-2.2425281907999999E-6</v>
      </c>
      <c r="G103" s="375"/>
      <c r="H103" s="376">
        <f t="shared" si="107"/>
        <v>5.9040947202479798E-5</v>
      </c>
      <c r="I103" s="376">
        <f t="shared" si="108"/>
        <v>1.7870859947547514E-5</v>
      </c>
      <c r="J103" s="377">
        <f t="shared" si="109"/>
        <v>1.9730488268927707E-5</v>
      </c>
      <c r="K103" s="377">
        <f t="shared" si="110"/>
        <v>1.4475923751359169E-5</v>
      </c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3:55" ht="15.45" hidden="1" x14ac:dyDescent="0.4">
      <c r="C104" s="357">
        <v>24</v>
      </c>
      <c r="D104" s="357">
        <v>4</v>
      </c>
      <c r="E104" s="357">
        <v>-2</v>
      </c>
      <c r="F104" s="374">
        <v>-6.5171222895601002E-7</v>
      </c>
      <c r="G104" s="375"/>
      <c r="H104" s="376">
        <f t="shared" si="107"/>
        <v>1.8669695258160664E-4</v>
      </c>
      <c r="I104" s="376">
        <f t="shared" si="108"/>
        <v>1.1610396902256198E-4</v>
      </c>
      <c r="J104" s="377">
        <f t="shared" si="109"/>
        <v>1.2042898767946993E-4</v>
      </c>
      <c r="K104" s="377">
        <f t="shared" si="110"/>
        <v>1.0672038925111231E-4</v>
      </c>
      <c r="AR104" s="383"/>
      <c r="AS104" s="383"/>
      <c r="AT104" s="383"/>
      <c r="AU104" s="383"/>
      <c r="AV104" s="41"/>
      <c r="AW104" s="41"/>
      <c r="AX104" s="41"/>
      <c r="AY104" s="41"/>
      <c r="AZ104" s="41"/>
      <c r="BA104" s="41"/>
      <c r="BB104" s="41"/>
      <c r="BC104" s="41"/>
    </row>
    <row r="105" spans="3:55" ht="15.45" hidden="1" x14ac:dyDescent="0.4">
      <c r="C105" s="357">
        <v>25</v>
      </c>
      <c r="D105" s="357">
        <v>4</v>
      </c>
      <c r="E105" s="357">
        <v>10</v>
      </c>
      <c r="F105" s="374">
        <v>-1.4341729937923999E-13</v>
      </c>
      <c r="G105" s="375"/>
      <c r="H105" s="376">
        <f t="shared" si="107"/>
        <v>5.7589951648680064E-7</v>
      </c>
      <c r="I105" s="376">
        <f t="shared" si="108"/>
        <v>6.3815673985494293E-6</v>
      </c>
      <c r="J105" s="377">
        <f t="shared" si="109"/>
        <v>5.1567690410982043E-6</v>
      </c>
      <c r="K105" s="377">
        <f t="shared" si="110"/>
        <v>9.7258079418658735E-6</v>
      </c>
      <c r="AR105" s="393"/>
      <c r="AS105" s="41"/>
      <c r="AT105" s="393"/>
      <c r="AU105" s="393"/>
      <c r="AV105" s="41"/>
      <c r="AW105" s="41"/>
      <c r="AX105" s="41"/>
      <c r="AY105" s="41"/>
      <c r="AZ105" s="41"/>
      <c r="BA105" s="41"/>
      <c r="BB105" s="41"/>
      <c r="BC105" s="41"/>
    </row>
    <row r="106" spans="3:55" ht="15.45" hidden="1" x14ac:dyDescent="0.3">
      <c r="C106" s="357">
        <v>26</v>
      </c>
      <c r="D106" s="357">
        <v>5</v>
      </c>
      <c r="E106" s="357">
        <v>-8</v>
      </c>
      <c r="F106" s="374">
        <v>-4.0516996860117E-7</v>
      </c>
      <c r="G106" s="375"/>
      <c r="H106" s="376">
        <f t="shared" si="107"/>
        <v>8.6498261708990522E-6</v>
      </c>
      <c r="I106" s="376">
        <f t="shared" si="108"/>
        <v>1.2764718674668421E-6</v>
      </c>
      <c r="J106" s="377">
        <f t="shared" si="109"/>
        <v>1.4975543958864779E-6</v>
      </c>
      <c r="K106" s="377">
        <f t="shared" si="110"/>
        <v>9.1119763664636614E-7</v>
      </c>
      <c r="AR106" s="394"/>
      <c r="AS106" s="41"/>
      <c r="AT106" s="394"/>
      <c r="AU106" s="394"/>
      <c r="AV106" s="41"/>
      <c r="AW106" s="41"/>
      <c r="AX106" s="41"/>
      <c r="AY106" s="41"/>
      <c r="AZ106" s="41"/>
      <c r="BA106" s="41"/>
      <c r="BB106" s="41"/>
      <c r="BC106" s="41"/>
    </row>
    <row r="107" spans="3:55" ht="15" hidden="1" x14ac:dyDescent="0.35">
      <c r="C107" s="357">
        <v>27</v>
      </c>
      <c r="D107" s="357">
        <v>8</v>
      </c>
      <c r="E107" s="357">
        <v>-11</v>
      </c>
      <c r="F107" s="374">
        <v>-1.2734301741640999E-9</v>
      </c>
      <c r="G107" s="375"/>
      <c r="H107" s="376">
        <f t="shared" si="107"/>
        <v>1.4058251245075744E-6</v>
      </c>
      <c r="I107" s="376">
        <f t="shared" si="108"/>
        <v>1.0148591499429698E-7</v>
      </c>
      <c r="J107" s="377">
        <f t="shared" si="109"/>
        <v>1.2609481736975571E-7</v>
      </c>
      <c r="K107" s="377">
        <f t="shared" si="110"/>
        <v>6.3842165541478702E-8</v>
      </c>
      <c r="AR107" s="338"/>
      <c r="AS107" s="41"/>
      <c r="AT107" s="316"/>
      <c r="AU107" s="338"/>
      <c r="AV107" s="41"/>
      <c r="AW107" s="41"/>
      <c r="AX107" s="41"/>
      <c r="AY107" s="41"/>
      <c r="AZ107" s="41"/>
      <c r="BA107" s="41"/>
      <c r="BB107" s="41"/>
      <c r="BC107" s="41"/>
    </row>
    <row r="108" spans="3:55" ht="15" hidden="1" x14ac:dyDescent="0.3">
      <c r="C108" s="357">
        <v>28</v>
      </c>
      <c r="D108" s="357">
        <v>8</v>
      </c>
      <c r="E108" s="357">
        <v>-6</v>
      </c>
      <c r="F108" s="374">
        <v>-1.7424871230634001E-10</v>
      </c>
      <c r="G108" s="375"/>
      <c r="H108" s="376">
        <f t="shared" si="107"/>
        <v>1.0277851327602621E-5</v>
      </c>
      <c r="I108" s="376">
        <f t="shared" si="108"/>
        <v>2.4636157546215822E-6</v>
      </c>
      <c r="J108" s="377">
        <f t="shared" si="109"/>
        <v>2.7585683621760824E-6</v>
      </c>
      <c r="K108" s="377">
        <f t="shared" si="110"/>
        <v>1.9132599272658506E-6</v>
      </c>
      <c r="AR108" s="9"/>
      <c r="AS108" s="41"/>
      <c r="AT108" s="9"/>
      <c r="AU108" s="9"/>
      <c r="AV108" s="41"/>
      <c r="AW108" s="41"/>
      <c r="AX108" s="41"/>
      <c r="AY108" s="41"/>
      <c r="AZ108" s="41"/>
      <c r="BA108" s="41"/>
      <c r="BB108" s="41"/>
      <c r="BC108" s="41"/>
    </row>
    <row r="109" spans="3:55" ht="15" hidden="1" x14ac:dyDescent="0.3">
      <c r="C109" s="357">
        <v>29</v>
      </c>
      <c r="D109" s="357">
        <v>21</v>
      </c>
      <c r="E109" s="357">
        <v>-29</v>
      </c>
      <c r="F109" s="374">
        <v>-6.8762131295530996E-19</v>
      </c>
      <c r="G109" s="375"/>
      <c r="H109" s="376">
        <f t="shared" si="107"/>
        <v>1.2962171397648342E-10</v>
      </c>
      <c r="I109" s="376">
        <f t="shared" si="108"/>
        <v>1.2715360397456955E-13</v>
      </c>
      <c r="J109" s="377">
        <f t="shared" si="109"/>
        <v>2.2479567723293096E-13</v>
      </c>
      <c r="K109" s="377">
        <f t="shared" si="110"/>
        <v>3.7465671469072137E-14</v>
      </c>
      <c r="AR109" s="41"/>
      <c r="AS109" s="41"/>
      <c r="AT109" s="10"/>
      <c r="AU109" s="10"/>
      <c r="AV109" s="41"/>
      <c r="AW109" s="41"/>
      <c r="AX109" s="41"/>
      <c r="AY109" s="41"/>
      <c r="AZ109" s="41"/>
      <c r="BA109" s="41"/>
      <c r="BB109" s="41"/>
      <c r="BC109" s="41"/>
    </row>
    <row r="110" spans="3:55" ht="15" hidden="1" x14ac:dyDescent="0.3">
      <c r="C110" s="357">
        <v>30</v>
      </c>
      <c r="D110" s="357">
        <v>23</v>
      </c>
      <c r="E110" s="357">
        <v>-31</v>
      </c>
      <c r="F110" s="374">
        <v>1.4478307828521001E-20</v>
      </c>
      <c r="G110" s="375"/>
      <c r="H110" s="376">
        <f t="shared" si="107"/>
        <v>-3.0329515840525431E-11</v>
      </c>
      <c r="I110" s="376">
        <f t="shared" si="108"/>
        <v>-1.8471271592683196E-14</v>
      </c>
      <c r="J110" s="377">
        <f t="shared" si="109"/>
        <v>-3.3928876584308895E-14</v>
      </c>
      <c r="K110" s="377">
        <f t="shared" si="110"/>
        <v>-5.002671370764606E-15</v>
      </c>
      <c r="AR110" s="10"/>
      <c r="AS110" s="41"/>
      <c r="AT110" s="10"/>
      <c r="AU110" s="10"/>
      <c r="AV110" s="41"/>
      <c r="AW110" s="41"/>
      <c r="AX110" s="41"/>
      <c r="AY110" s="41"/>
      <c r="AZ110" s="41"/>
      <c r="BA110" s="41"/>
      <c r="BB110" s="41"/>
      <c r="BC110" s="41"/>
    </row>
    <row r="111" spans="3:55" ht="15" hidden="1" x14ac:dyDescent="0.3">
      <c r="C111" s="357">
        <v>31</v>
      </c>
      <c r="D111" s="357">
        <v>29</v>
      </c>
      <c r="E111" s="357">
        <v>-38</v>
      </c>
      <c r="F111" s="374">
        <v>2.6335781662795E-23</v>
      </c>
      <c r="G111" s="375"/>
      <c r="H111" s="376">
        <f t="shared" si="107"/>
        <v>-3.2789955523354883E-11</v>
      </c>
      <c r="I111" s="376">
        <f t="shared" si="108"/>
        <v>-3.7590154980877989E-15</v>
      </c>
      <c r="J111" s="377">
        <f t="shared" si="109"/>
        <v>-7.9072078181735872E-15</v>
      </c>
      <c r="K111" s="377">
        <f t="shared" si="110"/>
        <v>-7.5801965500651797E-16</v>
      </c>
      <c r="AR111" s="41"/>
      <c r="AS111" s="41"/>
      <c r="AT111" s="10"/>
      <c r="AU111" s="10"/>
      <c r="AV111" s="41"/>
      <c r="AW111" s="41"/>
      <c r="AX111" s="41"/>
      <c r="AY111" s="41"/>
      <c r="AZ111" s="41"/>
      <c r="BA111" s="41"/>
      <c r="BB111" s="41"/>
      <c r="BC111" s="41"/>
    </row>
    <row r="112" spans="3:55" ht="15" hidden="1" x14ac:dyDescent="0.3">
      <c r="C112" s="357">
        <v>32</v>
      </c>
      <c r="D112" s="357">
        <v>30</v>
      </c>
      <c r="E112" s="357">
        <v>-39</v>
      </c>
      <c r="F112" s="374">
        <v>-1.1947622640071E-23</v>
      </c>
      <c r="G112" s="375"/>
      <c r="H112" s="376">
        <f t="shared" si="107"/>
        <v>4.9017901908520752E-11</v>
      </c>
      <c r="I112" s="376">
        <f t="shared" si="108"/>
        <v>4.427700210861992E-15</v>
      </c>
      <c r="J112" s="377">
        <f t="shared" si="109"/>
        <v>9.4936659706619476E-15</v>
      </c>
      <c r="K112" s="377">
        <f t="shared" si="110"/>
        <v>8.5602160472844475E-16</v>
      </c>
      <c r="AR112" s="10"/>
      <c r="AS112" s="41"/>
      <c r="AT112" s="10"/>
      <c r="AU112" s="10"/>
      <c r="AV112" s="41"/>
      <c r="AW112" s="41"/>
      <c r="AX112" s="41"/>
      <c r="AY112" s="41"/>
      <c r="AZ112" s="41"/>
      <c r="BA112" s="41"/>
      <c r="BB112" s="41"/>
      <c r="BC112" s="41"/>
    </row>
    <row r="113" spans="3:55" ht="15" hidden="1" x14ac:dyDescent="0.3">
      <c r="C113" s="357">
        <v>33</v>
      </c>
      <c r="D113" s="357">
        <v>31</v>
      </c>
      <c r="E113" s="357">
        <v>-40</v>
      </c>
      <c r="F113" s="374">
        <v>1.8228094581404E-24</v>
      </c>
      <c r="G113" s="375"/>
      <c r="H113" s="376">
        <f t="shared" si="107"/>
        <v>-2.4615591922823399E-11</v>
      </c>
      <c r="I113" s="376">
        <f t="shared" si="108"/>
        <v>-1.7519591450029639E-15</v>
      </c>
      <c r="J113" s="377">
        <f t="shared" si="109"/>
        <v>-3.8290092518418289E-15</v>
      </c>
      <c r="K113" s="377">
        <f t="shared" si="110"/>
        <v>-3.247361661808047E-16</v>
      </c>
      <c r="AR113" s="10"/>
      <c r="AS113" s="41"/>
      <c r="AT113" s="10"/>
      <c r="AU113" s="10"/>
      <c r="AV113" s="41"/>
      <c r="AW113" s="41"/>
      <c r="AX113" s="41"/>
      <c r="AY113" s="41"/>
      <c r="AZ113" s="41"/>
      <c r="BA113" s="41"/>
      <c r="BB113" s="41"/>
      <c r="BC113" s="41"/>
    </row>
    <row r="114" spans="3:55" ht="15" hidden="1" x14ac:dyDescent="0.3">
      <c r="C114" s="357">
        <v>34</v>
      </c>
      <c r="D114" s="357">
        <v>32</v>
      </c>
      <c r="E114" s="357">
        <v>-41</v>
      </c>
      <c r="F114" s="374">
        <v>-9.3537087292457998E-26</v>
      </c>
      <c r="G114" s="375"/>
      <c r="H114" s="376">
        <f t="shared" si="107"/>
        <v>4.1533304542923782E-12</v>
      </c>
      <c r="I114" s="376">
        <f t="shared" si="108"/>
        <v>2.3291656597313538E-16</v>
      </c>
      <c r="J114" s="377">
        <f t="shared" si="109"/>
        <v>5.1888309525934344E-16</v>
      </c>
      <c r="K114" s="377">
        <f t="shared" si="110"/>
        <v>4.1391124972447258E-17</v>
      </c>
      <c r="AR114" s="10"/>
      <c r="AS114" s="41"/>
      <c r="AT114" s="10"/>
      <c r="AU114" s="10"/>
      <c r="AV114" s="41"/>
      <c r="AW114" s="41"/>
      <c r="AX114" s="41"/>
      <c r="AY114" s="41"/>
      <c r="AZ114" s="41"/>
      <c r="BA114" s="41"/>
      <c r="BB114" s="41"/>
      <c r="BC114" s="41"/>
    </row>
    <row r="115" spans="3:55" hidden="1" x14ac:dyDescent="0.3">
      <c r="C115" s="375"/>
      <c r="D115" s="375"/>
      <c r="E115" s="378" t="s">
        <v>151</v>
      </c>
      <c r="F115" s="6">
        <v>0.46152599999999999</v>
      </c>
      <c r="G115" s="375"/>
      <c r="H115" s="379">
        <f>SUM(H89:H114)</f>
        <v>9.5011485983960225E-2</v>
      </c>
      <c r="I115" s="379">
        <f>SUM(I89:I114)</f>
        <v>0.10672737641380697</v>
      </c>
      <c r="J115" s="380">
        <f>SUM(J89:J114)</f>
        <v>0.10550038851417692</v>
      </c>
      <c r="K115" s="380">
        <f>SUM(K89:K114)</f>
        <v>0.10932397999981648</v>
      </c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</row>
    <row r="116" spans="3:55" hidden="1" x14ac:dyDescent="0.3"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</row>
    <row r="117" spans="3:55" hidden="1" x14ac:dyDescent="0.3"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</row>
    <row r="118" spans="3:55" hidden="1" x14ac:dyDescent="0.3"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3:55" hidden="1" x14ac:dyDescent="0.3"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3:55" hidden="1" x14ac:dyDescent="0.3">
      <c r="AR120" s="349"/>
      <c r="AS120" s="258"/>
      <c r="AT120" s="258"/>
      <c r="AU120" s="258"/>
      <c r="AV120" s="258"/>
      <c r="AW120" s="349"/>
      <c r="AX120" s="349"/>
      <c r="AY120" s="258"/>
      <c r="AZ120" s="258"/>
      <c r="BA120" s="258"/>
      <c r="BB120" s="258"/>
      <c r="BC120" s="349"/>
    </row>
    <row r="121" spans="3:55" ht="15" x14ac:dyDescent="0.3"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</row>
    <row r="122" spans="3:55" ht="15" x14ac:dyDescent="0.3"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</row>
    <row r="123" spans="3:55" ht="15" x14ac:dyDescent="0.3"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</row>
    <row r="124" spans="3:55" ht="15" x14ac:dyDescent="0.3"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</row>
    <row r="125" spans="3:55" ht="15" x14ac:dyDescent="0.3"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</row>
    <row r="126" spans="3:55" ht="15" x14ac:dyDescent="0.3"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</row>
    <row r="127" spans="3:55" ht="15" x14ac:dyDescent="0.3"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</row>
    <row r="128" spans="3:55" ht="15" x14ac:dyDescent="0.3"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</row>
    <row r="129" spans="44:55" ht="15" x14ac:dyDescent="0.3"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</row>
    <row r="130" spans="44:55" ht="15.45" x14ac:dyDescent="0.3"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</row>
  </sheetData>
  <sheetProtection algorithmName="SHA-512" hashValue="kbM4/RDY4LdmmpORD3cFfUSKDbhAydg7jRBScd+tqcv95e0UnuP6RV65ve8cHFHo8VMiAuZY4WQQ8oHu7xxLww==" saltValue="CAgbRye+tU6F8nSb7mv37g==" spinCount="100000" sheet="1" objects="1" scenarios="1"/>
  <customSheetViews>
    <customSheetView guid="{AAE00E0F-58A4-431B-A945-2FAABDFF301E}" scale="70" showGridLines="0" hiddenRows="1" hiddenColumns="1" topLeftCell="A2">
      <selection activeCell="H19" sqref="H19"/>
      <pageMargins left="0.75" right="0.75" top="1" bottom="1" header="0.5" footer="0.5"/>
      <pageSetup paperSize="9" orientation="portrait" r:id="rId1"/>
      <headerFooter alignWithMargins="0"/>
    </customSheetView>
  </customSheetViews>
  <mergeCells count="41">
    <mergeCell ref="C4:E4"/>
    <mergeCell ref="C5:E5"/>
    <mergeCell ref="C6:E6"/>
    <mergeCell ref="B2:E2"/>
    <mergeCell ref="B30:C30"/>
    <mergeCell ref="B28:D28"/>
    <mergeCell ref="D29:E29"/>
    <mergeCell ref="B26:E26"/>
    <mergeCell ref="G29:H29"/>
    <mergeCell ref="D30:E30"/>
    <mergeCell ref="G30:H30"/>
    <mergeCell ref="F26:H26"/>
    <mergeCell ref="D31:E31"/>
    <mergeCell ref="B31:C31"/>
    <mergeCell ref="G31:H31"/>
    <mergeCell ref="Z42:AA42"/>
    <mergeCell ref="AG42:AI42"/>
    <mergeCell ref="B32:C32"/>
    <mergeCell ref="B33:C33"/>
    <mergeCell ref="B34:C34"/>
    <mergeCell ref="B37:C37"/>
    <mergeCell ref="B38:C38"/>
    <mergeCell ref="B36:D36"/>
    <mergeCell ref="AK42:AM42"/>
    <mergeCell ref="AQ42:AR42"/>
    <mergeCell ref="B42:D42"/>
    <mergeCell ref="B39:C39"/>
    <mergeCell ref="B40:C40"/>
    <mergeCell ref="AG1:AH1"/>
    <mergeCell ref="Z2:AA2"/>
    <mergeCell ref="AG2:AI2"/>
    <mergeCell ref="AK2:AM2"/>
    <mergeCell ref="AQ2:AR2"/>
    <mergeCell ref="Z15:AA15"/>
    <mergeCell ref="AG15:AI15"/>
    <mergeCell ref="AK15:AM15"/>
    <mergeCell ref="AQ15:AR15"/>
    <mergeCell ref="Z29:AA29"/>
    <mergeCell ref="AG29:AI29"/>
    <mergeCell ref="AK29:AM29"/>
    <mergeCell ref="AQ29:AR29"/>
  </mergeCells>
  <phoneticPr fontId="2" type="noConversion"/>
  <conditionalFormatting sqref="AK4:AM13 AK17:AM26">
    <cfRule type="cellIs" dxfId="27" priority="17" stopIfTrue="1" operator="equal">
      <formula>TRUE</formula>
    </cfRule>
  </conditionalFormatting>
  <conditionalFormatting sqref="AK31:AM40">
    <cfRule type="cellIs" dxfId="26" priority="14" stopIfTrue="1" operator="equal">
      <formula>TRUE</formula>
    </cfRule>
  </conditionalFormatting>
  <conditionalFormatting sqref="AK44:AM53">
    <cfRule type="cellIs" dxfId="25" priority="12" stopIfTrue="1" operator="equal">
      <formula>TRUE</formula>
    </cfRule>
  </conditionalFormatting>
  <conditionalFormatting sqref="D51:E51">
    <cfRule type="cellIs" dxfId="24" priority="11" stopIfTrue="1" operator="greaterThan">
      <formula>3</formula>
    </cfRule>
  </conditionalFormatting>
  <conditionalFormatting sqref="H51">
    <cfRule type="cellIs" dxfId="23" priority="10" stopIfTrue="1" operator="greaterThan">
      <formula>3</formula>
    </cfRule>
  </conditionalFormatting>
  <conditionalFormatting sqref="G51">
    <cfRule type="cellIs" dxfId="22" priority="9" stopIfTrue="1" operator="greaterThan">
      <formula>3</formula>
    </cfRule>
  </conditionalFormatting>
  <conditionalFormatting sqref="AO17:AP26">
    <cfRule type="cellIs" dxfId="21" priority="3" stopIfTrue="1" operator="equal">
      <formula>TRUE</formula>
    </cfRule>
  </conditionalFormatting>
  <conditionalFormatting sqref="AO31:AP40">
    <cfRule type="cellIs" dxfId="20" priority="1" stopIfTrue="1" operator="equal">
      <formula>TRUE</formula>
    </cfRule>
  </conditionalFormatting>
  <conditionalFormatting sqref="AO4:AP13">
    <cfRule type="cellIs" dxfId="19" priority="4" stopIfTrue="1" operator="equal">
      <formula>TRUE</formula>
    </cfRule>
  </conditionalFormatting>
  <conditionalFormatting sqref="AO44:AP53">
    <cfRule type="cellIs" dxfId="18" priority="2" stopIfTrue="1" operator="equal">
      <formula>TRUE</formula>
    </cfRule>
  </conditionalFormatting>
  <dataValidations count="4">
    <dataValidation type="list" allowBlank="1" showInputMessage="1" showErrorMessage="1" sqref="G31:H31" xr:uid="{00000000-0002-0000-0500-000000000000}">
      <formula1>GrafikGVS</formula1>
    </dataValidation>
    <dataValidation type="list" allowBlank="1" showInputMessage="1" showErrorMessage="1" sqref="D31" xr:uid="{00000000-0002-0000-0500-000001000000}">
      <formula1>Grafik</formula1>
    </dataValidation>
    <dataValidation type="list" allowBlank="1" showInputMessage="1" showErrorMessage="1" sqref="G33:H33 D33:E33" xr:uid="{00000000-0002-0000-0500-000002000000}">
      <formula1>DU_tr</formula1>
    </dataValidation>
    <dataValidation type="list" allowBlank="1" showInputMessage="1" showErrorMessage="1" sqref="F26" xr:uid="{392CDFE0-B878-4717-BB88-F6A416CF72C2}">
      <formula1>Метод_подбора</formula1>
    </dataValidation>
  </dataValidations>
  <pageMargins left="0.25" right="0.25" top="0.75" bottom="0.75" header="0.3" footer="0.3"/>
  <pageSetup paperSize="9" scale="55" fitToHeight="0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43B1C"/>
    <pageSetUpPr fitToPage="1"/>
  </sheetPr>
  <dimension ref="B1:BG166"/>
  <sheetViews>
    <sheetView showGridLines="0" showRowColHeaders="0" zoomScale="85" zoomScaleNormal="85" zoomScalePageLayoutView="80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5.69140625" style="6" customWidth="1"/>
    <col min="7" max="8" width="18.69140625" style="6" customWidth="1"/>
    <col min="9" max="9" width="10.69140625" style="6" customWidth="1"/>
    <col min="10" max="11" width="10.69140625" style="6" hidden="1" customWidth="1"/>
    <col min="12" max="12" width="18.69140625" style="6" hidden="1" customWidth="1"/>
    <col min="13" max="18" width="12.69140625" style="6" hidden="1" customWidth="1"/>
    <col min="19" max="19" width="14.30468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5.53515625" style="6" hidden="1" customWidth="1"/>
    <col min="45" max="45" width="13.69140625" style="6" hidden="1" customWidth="1"/>
    <col min="46" max="46" width="21.69140625" style="6" hidden="1" customWidth="1"/>
    <col min="47" max="50" width="13.3828125" style="6" hidden="1" customWidth="1"/>
    <col min="51" max="54" width="13.3828125" style="6" customWidth="1"/>
    <col min="55" max="16384" width="9.15234375" style="6"/>
  </cols>
  <sheetData>
    <row r="1" spans="2:55" ht="18" customHeight="1" thickBot="1" x14ac:dyDescent="0.35"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259"/>
      <c r="AU1" s="41"/>
      <c r="AV1" s="41"/>
      <c r="AW1" s="41"/>
      <c r="AX1" s="41"/>
      <c r="AY1" s="41"/>
      <c r="AZ1" s="41"/>
      <c r="BA1" s="41"/>
      <c r="BB1" s="41"/>
      <c r="BC1" s="41"/>
    </row>
    <row r="2" spans="2:55" ht="18" customHeight="1" thickBot="1" x14ac:dyDescent="0.55000000000000004">
      <c r="B2" s="827" t="s">
        <v>393</v>
      </c>
      <c r="C2" s="827"/>
      <c r="D2" s="827"/>
      <c r="E2" s="827"/>
      <c r="F2" s="260"/>
      <c r="G2" s="261"/>
      <c r="N2" s="262"/>
      <c r="O2" s="263" t="s">
        <v>406</v>
      </c>
      <c r="P2" s="264">
        <f>MATCH(M6,DyTr_New,0)</f>
        <v>16</v>
      </c>
      <c r="Q2" s="265">
        <f ca="1">MATCH(TRUE,AO4:AO13,0)</f>
        <v>5</v>
      </c>
      <c r="R2" s="266" t="s">
        <v>103</v>
      </c>
      <c r="S2" s="267"/>
      <c r="U2" s="268">
        <f ca="1">MATCH(TRUE,AO4:AO13,0)</f>
        <v>5</v>
      </c>
      <c r="V2" s="269" t="s">
        <v>407</v>
      </c>
      <c r="W2" s="270"/>
      <c r="X2" s="270"/>
      <c r="Y2" s="270"/>
      <c r="Z2" s="838" t="s">
        <v>206</v>
      </c>
      <c r="AA2" s="838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>
        <f ca="1">MATCH(TRUE,AO4:AO13,0)</f>
        <v>5</v>
      </c>
      <c r="AP2" s="273">
        <f ca="1">MATCH(TRUE,AP4:AP13,0)</f>
        <v>5</v>
      </c>
      <c r="AQ2" s="802" t="s">
        <v>69</v>
      </c>
      <c r="AR2" s="803"/>
      <c r="AS2" s="259"/>
      <c r="AT2" s="259"/>
    </row>
    <row r="3" spans="2:55" ht="18" customHeight="1" x14ac:dyDescent="0.3">
      <c r="B3" s="274"/>
      <c r="C3" s="274"/>
      <c r="D3" s="275"/>
      <c r="E3" s="274"/>
      <c r="F3" s="276"/>
      <c r="G3" s="276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IF(ISERROR(AO2),IF(ISERROR(AP2),"НЕТ",OFFSET(Q4,AP2-1,0,1)&amp;"-"&amp;OFFSET(AN4,AP2-1,0,1)&amp;"-Фланец"),OFFSET(Q4,AO2-1,0,1)&amp;"-"&amp;OFFSET(AN4,AO2-1,0,1)&amp;"-Cэндвич")</f>
        <v>ПРЭМ-40-D-Cэндвич</v>
      </c>
      <c r="AT3" s="284" t="str">
        <f ca="1">IF(ISERROR(AO2),IF(ISERROR(AP2),"НЕТ",OFFSET(Q4,AP2-1,0,1)&amp;"-"&amp;OFFSET(AN4,AP2-1,0,1)),OFFSET(Q4,AO2-1,0,1)&amp;"-"&amp;OFFSET(AN4,AO2-1,0,1))</f>
        <v>ПРЭМ-40-D</v>
      </c>
    </row>
    <row r="4" spans="2:55" ht="18" customHeight="1" x14ac:dyDescent="0.3">
      <c r="B4" s="285" t="s">
        <v>117</v>
      </c>
      <c r="C4" s="788"/>
      <c r="D4" s="789"/>
      <c r="E4" s="790"/>
      <c r="F4" s="286"/>
      <c r="G4" s="286"/>
      <c r="L4" s="287" t="s">
        <v>74</v>
      </c>
      <c r="M4" s="288">
        <v>0.5</v>
      </c>
      <c r="N4" s="88">
        <f ca="1">OFFSET(DyTr_New,P2-1,1,1)</f>
        <v>6</v>
      </c>
      <c r="O4" s="88">
        <v>1</v>
      </c>
      <c r="P4" s="93" t="str">
        <f ca="1">IF(O4&lt;=$N$4,OFFSET(DyTr_New,$P$2-2+O4,4,1),"---")</f>
        <v>15-50</v>
      </c>
      <c r="Q4" s="93" t="str">
        <f t="shared" ref="Q4:Q13" ca="1" si="0">IF(O4&lt;=$N$4,OFFSET(DyTr_New,$P$2-2+O4,2,1),"---")</f>
        <v>ПРЭМ-15</v>
      </c>
      <c r="R4" s="93">
        <f t="shared" ref="R4:R13" ca="1" si="1">IF(O4&lt;=$N$4,OFFSET(DyTr_New,$P$2-2+O4,5,1),"---")</f>
        <v>15</v>
      </c>
      <c r="S4" s="93" t="str">
        <f t="shared" ref="S4:S13" ca="1" si="2">IF(O4&lt;=$N$4,OFFSET(DyTr_New,$P$2-2+O4,6,1),"---")</f>
        <v>30,14</v>
      </c>
      <c r="T4" s="93">
        <f t="shared" ref="T4:T13" ca="1" si="3">IF(O4&lt;=$N$4,($M$7/3.6)/((PI()*R4^2)/4000),"---")</f>
        <v>18.949577159064024</v>
      </c>
      <c r="U4" s="289">
        <f t="shared" ref="U4:U13" ca="1" si="4">IF(O4&lt;=$N$4,(T4*R4/$M$9/1000),"---")</f>
        <v>989427.41980609286</v>
      </c>
      <c r="V4" s="289">
        <f t="shared" ref="V4:V13" ca="1" si="5">IF(O4&lt;=$N$4,(1/(1.14+2*LOG((R4/$M$4),10))^2),"---")</f>
        <v>5.9655827422120798E-2</v>
      </c>
      <c r="W4" s="93">
        <f t="shared" ref="W4:W13" ca="1" si="6">IF(O4&lt;=$N$4,(IF(S4=0,0,(V4/(8*SIN(RADIANS(S4/2))))*(1-(R4/$M$6)^4))),"---")</f>
        <v>2.8448487298016373E-2</v>
      </c>
      <c r="X4" s="93">
        <f t="shared" ref="X4:X13" ca="1" si="7">IF(O4&lt;=$N$4,(3.2*TAN(RADIANS(S4/2))^1.25*(1-(R4/$M$6)^2)^2),"---")</f>
        <v>0.51397936922726728</v>
      </c>
      <c r="Y4" s="93">
        <f t="shared" ref="Y4:Y13" ca="1" si="8">IF(O4&lt;=$N$4,(IF(S4=0,0,V4/(8*SIN(RADIANS(S4/2)))*(1-(R4/$M$6)^4))),"---")</f>
        <v>2.8448487298016373E-2</v>
      </c>
      <c r="Z4" s="290">
        <f t="shared" ref="Z4:Z13" ca="1" si="9">IF(O4&lt;=$N$4,VLOOKUP(Q4&amp;"-Сэндвич",TypePFlow,3,FALSE),"---")</f>
        <v>0</v>
      </c>
      <c r="AA4" s="290">
        <f t="shared" ref="AA4:AA13" ca="1" si="10">IF(O4&lt;=$N$4,VLOOKUP(Q4&amp;"-Фланец",TypePFlow,3,FALSE),"---")</f>
        <v>0</v>
      </c>
      <c r="AB4" s="93">
        <f t="shared" ref="AB4:AB13" ca="1" si="11">IF(O4&lt;=$N$4,(V4*4+W4+X4+Y4)*T4^2/(2*9.81),"--")</f>
        <v>14.815513592988998</v>
      </c>
      <c r="AC4" s="291">
        <f t="shared" ref="AC4:AC13" ca="1" si="12">IF(O4&lt;=$N$4,(Z4*$M$7^2),"--")</f>
        <v>0</v>
      </c>
      <c r="AD4" s="93">
        <f t="shared" ref="AD4:AD13" ca="1" si="13">IF(O4&lt;=$N$4,(AA4*$M$7^2),"--")</f>
        <v>0</v>
      </c>
      <c r="AE4" s="93">
        <f t="shared" ref="AE4:AE13" ca="1" si="14">IF(O4&lt;=$N$4,(AB4+AC4),"---")</f>
        <v>14.815513592988998</v>
      </c>
      <c r="AF4" s="93">
        <f t="shared" ref="AF4:AF13" ca="1" si="15">IF(O4&lt;=$N$4,(AB4+AD4),"---")</f>
        <v>14.815513592988998</v>
      </c>
      <c r="AG4" s="292">
        <f t="shared" ref="AG4:AG13" ca="1" si="16">IF(O4&lt;=$N$4,VLOOKUP(Q4&amp;"-D",ParamPiterflow,2,FALSE),"---")</f>
        <v>0.04</v>
      </c>
      <c r="AH4" s="292">
        <f t="shared" ref="AH4:AH13" ca="1" si="17">IF(O4&lt;=$N$4,VLOOKUP(Q4&amp;"-C1",ParamPiterflow,2,FALSE),"---")</f>
        <v>2.4E-2</v>
      </c>
      <c r="AI4" s="292">
        <f t="shared" ref="AI4:AI13" ca="1" si="18">IF(O4&lt;=$N$4,VLOOKUP(Q4&amp;"-B1",ParamPiterflow,2,FALSE),"---")</f>
        <v>1.2999999999999999E-2</v>
      </c>
      <c r="AJ4" s="292">
        <f t="shared" ref="AJ4:AJ13" ca="1" si="19">IF(O4&lt;=$N$4,VLOOKUP(Q4&amp;"-D",ParamPiterflow,4,FALSE),"---")</f>
        <v>6</v>
      </c>
      <c r="AK4" s="293" t="b">
        <f t="shared" ref="AK4:AK13" ca="1" si="20">IF($O4&lt;=$N$4,AND(AG4&lt;$M$8,$AJ4&gt;$M$7),"---")</f>
        <v>0</v>
      </c>
      <c r="AL4" s="293" t="b">
        <f t="shared" ref="AL4:AL13" ca="1" si="21">IF($O4&lt;=$N$4,AND(AH4&lt;$M$8,$AJ4&gt;$M$7),"---")</f>
        <v>0</v>
      </c>
      <c r="AM4" s="293" t="b">
        <f t="shared" ref="AM4:AM13" ca="1" si="22">IF($O4&lt;=$N$4,AND(AI4&lt;$M$8,$AJ4&gt;$M$7),"---")</f>
        <v>0</v>
      </c>
      <c r="AN4" s="294" t="str">
        <f ca="1">IF($O4&lt;=$N$4,IF(AK4,"D",IF(AL4,"C1",IF(AM4,"B1","НЕТ"))),"---")</f>
        <v>НЕТ</v>
      </c>
      <c r="AO4" s="294" t="b">
        <f ca="1">IF($O4&lt;=$N$4,AND(AE4&lt;$M$5,NOT(AN4="НЕТ"),IF($F$27="Экономный",T4&lt;=3,IF(AND($F$27="Оптимальный",T4&gt;$D$52),T4&lt;=1.8,IF(AND($F$27="Затратный",T4&gt;$D$52),T4&lt;=1,T4&lt;=3)))),"---")</f>
        <v>0</v>
      </c>
      <c r="AP4" s="294" t="b">
        <f ca="1">IF($O4&lt;=$N$4,AND(AF4&lt;$M$5,NOT(AN4="НЕТ"),IF($F$27="Экономный",T4&lt;=3,IF(AND($F$27="Оптимальный",T4&gt;$D$52),T4&lt;=1.8,IF(AND($F$27="Затратный",T4&gt;$D$52),T4&lt;=1,T4&lt;=3)))),"---")</f>
        <v>0</v>
      </c>
      <c r="AQ4" s="295"/>
      <c r="AR4" s="296"/>
      <c r="AS4" s="259"/>
      <c r="AT4" s="259">
        <f ca="1">IF(ISERROR(AO2),IF(ISERROR(AP2),"НЕТ",AP2),AO2)</f>
        <v>5</v>
      </c>
    </row>
    <row r="5" spans="2:55" ht="18" customHeight="1" x14ac:dyDescent="0.3">
      <c r="B5" s="8"/>
      <c r="C5" s="791"/>
      <c r="D5" s="792"/>
      <c r="E5" s="793"/>
      <c r="F5" s="276"/>
      <c r="G5" s="276"/>
      <c r="L5" s="297" t="s">
        <v>189</v>
      </c>
      <c r="M5" s="298">
        <f>D33</f>
        <v>0.5</v>
      </c>
      <c r="N5" s="88"/>
      <c r="O5" s="88">
        <v>2</v>
      </c>
      <c r="P5" s="93" t="str">
        <f t="shared" ref="P5:P10" ca="1" si="23">IF(O5&lt;=$N$4,OFFSET(DyTr_New,$P$2-2+O5,4,1),"---")</f>
        <v>20-50</v>
      </c>
      <c r="Q5" s="93" t="str">
        <f t="shared" ca="1" si="0"/>
        <v>ПРЭМ-20</v>
      </c>
      <c r="R5" s="93">
        <f t="shared" ca="1" si="1"/>
        <v>20</v>
      </c>
      <c r="S5" s="93" t="str">
        <f t="shared" ca="1" si="2"/>
        <v>46,4</v>
      </c>
      <c r="T5" s="93">
        <f t="shared" ca="1" si="3"/>
        <v>10.659137151973512</v>
      </c>
      <c r="U5" s="289">
        <f t="shared" ca="1" si="4"/>
        <v>742070.56485456938</v>
      </c>
      <c r="V5" s="289">
        <f t="shared" ca="1" si="5"/>
        <v>5.2990299783484442E-2</v>
      </c>
      <c r="W5" s="93">
        <f t="shared" ca="1" si="6"/>
        <v>1.6383680833374978E-2</v>
      </c>
      <c r="X5" s="93">
        <f t="shared" ca="1" si="7"/>
        <v>0.78302287976523621</v>
      </c>
      <c r="Y5" s="93">
        <f t="shared" ca="1" si="8"/>
        <v>1.6383680833374978E-2</v>
      </c>
      <c r="Z5" s="290">
        <f t="shared" ca="1" si="9"/>
        <v>0</v>
      </c>
      <c r="AA5" s="290">
        <f t="shared" ca="1" si="10"/>
        <v>0</v>
      </c>
      <c r="AB5" s="93">
        <f t="shared" ca="1" si="11"/>
        <v>5.9515925551242512</v>
      </c>
      <c r="AC5" s="291">
        <f t="shared" ca="1" si="12"/>
        <v>0</v>
      </c>
      <c r="AD5" s="93">
        <f t="shared" ca="1" si="13"/>
        <v>0</v>
      </c>
      <c r="AE5" s="93">
        <f t="shared" ca="1" si="14"/>
        <v>5.9515925551242512</v>
      </c>
      <c r="AF5" s="93">
        <f t="shared" ca="1" si="15"/>
        <v>5.9515925551242512</v>
      </c>
      <c r="AG5" s="292">
        <f t="shared" ca="1" si="16"/>
        <v>0.08</v>
      </c>
      <c r="AH5" s="292">
        <f t="shared" ca="1" si="17"/>
        <v>4.8000000000000001E-2</v>
      </c>
      <c r="AI5" s="292">
        <f t="shared" ca="1" si="18"/>
        <v>2.7E-2</v>
      </c>
      <c r="AJ5" s="292">
        <f t="shared" ca="1" si="19"/>
        <v>12</v>
      </c>
      <c r="AK5" s="293" t="b">
        <f t="shared" ca="1" si="20"/>
        <v>0</v>
      </c>
      <c r="AL5" s="293" t="b">
        <f t="shared" ca="1" si="21"/>
        <v>0</v>
      </c>
      <c r="AM5" s="293" t="b">
        <f t="shared" ca="1" si="22"/>
        <v>0</v>
      </c>
      <c r="AN5" s="294" t="str">
        <f t="shared" ref="AN5:AN13" ca="1" si="24">IF($O5&lt;=$N$4,IF(AK5,"D",IF(AL5,"C1",IF(AM5,"B1","НЕТ"))),"---")</f>
        <v>НЕТ</v>
      </c>
      <c r="AO5" s="294" t="b">
        <f t="shared" ref="AO5:AO13" ca="1" si="25">IF($O5&lt;=$N$4,AND(AE5&lt;$M$5,NOT(AN5="НЕТ"),IF($F$27="Экономный",T5&lt;=3,IF(AND($F$27="Оптимальный",T5&gt;$D$52),T5&lt;=1.8,IF(AND($F$27="Затратный",T5&gt;$D$52),T5&lt;=1,T5&lt;=3)))),"---")</f>
        <v>0</v>
      </c>
      <c r="AP5" s="294" t="b">
        <f t="shared" ref="AP5:AP13" ca="1" si="26">IF($O5&lt;=$N$4,AND(AF5&lt;$M$5,NOT(AN5="НЕТ"),IF($F$27="Экономный",T5&lt;=3,IF(AND($F$27="Оптимальный",T5&gt;$D$52),T5&lt;=1.8,IF(AND($F$27="Затратный",T5&gt;$D$52),T5&lt;=1,T5&lt;=3)))),"---")</f>
        <v>0</v>
      </c>
      <c r="AQ5" s="299" t="s">
        <v>18</v>
      </c>
      <c r="AR5" s="300">
        <f ca="1">OFFSET(T4,IF(ISERROR(AO2),IF(ISERROR(AP2),"НЕТ",AP2),AO2)-1,0,1)</f>
        <v>2.6647842879933781</v>
      </c>
      <c r="AS5" s="259"/>
      <c r="AT5" s="259"/>
    </row>
    <row r="6" spans="2:55" ht="18" customHeight="1" x14ac:dyDescent="0.3">
      <c r="B6" s="274"/>
      <c r="C6" s="794"/>
      <c r="D6" s="795"/>
      <c r="E6" s="796"/>
      <c r="F6" s="301"/>
      <c r="G6" s="301"/>
      <c r="L6" s="302" t="s">
        <v>410</v>
      </c>
      <c r="M6" s="303">
        <f>$D$34</f>
        <v>50</v>
      </c>
      <c r="N6" s="88"/>
      <c r="O6" s="88">
        <v>3</v>
      </c>
      <c r="P6" s="93" t="str">
        <f t="shared" ca="1" si="23"/>
        <v>25-50</v>
      </c>
      <c r="Q6" s="93" t="str">
        <f t="shared" ca="1" si="0"/>
        <v>ПРЭМ-25</v>
      </c>
      <c r="R6" s="93">
        <f t="shared" ca="1" si="1"/>
        <v>25</v>
      </c>
      <c r="S6" s="93" t="str">
        <f t="shared" ca="1" si="2"/>
        <v>39,3</v>
      </c>
      <c r="T6" s="93">
        <f t="shared" ca="1" si="3"/>
        <v>6.8218477772630477</v>
      </c>
      <c r="U6" s="289">
        <f t="shared" ca="1" si="4"/>
        <v>593656.45188365562</v>
      </c>
      <c r="V6" s="289">
        <f t="shared" ca="1" si="5"/>
        <v>4.8560427292756572E-2</v>
      </c>
      <c r="W6" s="93">
        <f t="shared" ca="1" si="6"/>
        <v>1.6922755912707779E-2</v>
      </c>
      <c r="X6" s="93">
        <f t="shared" ca="1" si="7"/>
        <v>0.49683315067415684</v>
      </c>
      <c r="Y6" s="93">
        <f t="shared" ca="1" si="8"/>
        <v>1.6922755912707779E-2</v>
      </c>
      <c r="Z6" s="290">
        <f t="shared" ca="1" si="9"/>
        <v>0</v>
      </c>
      <c r="AA6" s="290">
        <f t="shared" ca="1" si="10"/>
        <v>0</v>
      </c>
      <c r="AB6" s="93">
        <f t="shared" ca="1" si="11"/>
        <v>1.7194729578389636</v>
      </c>
      <c r="AC6" s="291">
        <f t="shared" ca="1" si="12"/>
        <v>0</v>
      </c>
      <c r="AD6" s="93">
        <f t="shared" ca="1" si="13"/>
        <v>0</v>
      </c>
      <c r="AE6" s="93">
        <f t="shared" ca="1" si="14"/>
        <v>1.7194729578389636</v>
      </c>
      <c r="AF6" s="93">
        <f t="shared" ca="1" si="15"/>
        <v>1.7194729578389636</v>
      </c>
      <c r="AG6" s="292">
        <f t="shared" ca="1" si="16"/>
        <v>0.12</v>
      </c>
      <c r="AH6" s="292">
        <f t="shared" ca="1" si="17"/>
        <v>7.1999999999999995E-2</v>
      </c>
      <c r="AI6" s="292">
        <f t="shared" ca="1" si="18"/>
        <v>0.04</v>
      </c>
      <c r="AJ6" s="292">
        <f t="shared" ca="1" si="19"/>
        <v>18</v>
      </c>
      <c r="AK6" s="293" t="b">
        <f t="shared" ca="1" si="20"/>
        <v>1</v>
      </c>
      <c r="AL6" s="293" t="b">
        <f t="shared" ca="1" si="21"/>
        <v>1</v>
      </c>
      <c r="AM6" s="293" t="b">
        <f t="shared" ca="1" si="22"/>
        <v>1</v>
      </c>
      <c r="AN6" s="294" t="str">
        <f t="shared" ca="1" si="24"/>
        <v>D</v>
      </c>
      <c r="AO6" s="294" t="b">
        <f t="shared" ca="1" si="25"/>
        <v>0</v>
      </c>
      <c r="AP6" s="294" t="b">
        <f t="shared" ca="1" si="26"/>
        <v>0</v>
      </c>
      <c r="AQ6" s="65" t="s">
        <v>22</v>
      </c>
      <c r="AR6" s="300">
        <f ca="1">IF(ISERROR(AO2),IF(ISERROR(AP2),"НЕТ",OFFSET(AF4,AP2-1,0,1)),OFFSET(AE4,AO2-1,0,1))</f>
        <v>8.9562691228646393E-2</v>
      </c>
      <c r="AS6" s="304"/>
      <c r="AT6" s="91">
        <f ca="1">IF(ISERROR(AO2),IF(ISERROR(AP2),"НЕТ",OFFSET(AF4,AP2-1,0,1)),OFFSET(AE4,AO2-1,0,1))</f>
        <v>8.9562691228646393E-2</v>
      </c>
    </row>
    <row r="7" spans="2:55" ht="18" customHeight="1" x14ac:dyDescent="0.3">
      <c r="L7" s="305" t="s">
        <v>71</v>
      </c>
      <c r="M7" s="306">
        <f>D49</f>
        <v>12.055200109288567</v>
      </c>
      <c r="N7" s="88"/>
      <c r="O7" s="88">
        <v>4</v>
      </c>
      <c r="P7" s="93" t="str">
        <f t="shared" ca="1" si="23"/>
        <v>32-50</v>
      </c>
      <c r="Q7" s="93" t="str">
        <f t="shared" ca="1" si="0"/>
        <v>ПРЭМ-32</v>
      </c>
      <c r="R7" s="93">
        <f t="shared" ca="1" si="1"/>
        <v>32</v>
      </c>
      <c r="S7" s="93" t="str">
        <f t="shared" ca="1" si="2"/>
        <v>28,84</v>
      </c>
      <c r="T7" s="93">
        <f t="shared" ca="1" si="3"/>
        <v>4.163725449989653</v>
      </c>
      <c r="U7" s="289">
        <f t="shared" ca="1" si="4"/>
        <v>463794.10303410591</v>
      </c>
      <c r="V7" s="289">
        <f t="shared" ca="1" si="5"/>
        <v>4.4277322004702871E-2</v>
      </c>
      <c r="W7" s="93">
        <f t="shared" ca="1" si="6"/>
        <v>1.8496325863946641E-2</v>
      </c>
      <c r="X7" s="93">
        <f t="shared" ca="1" si="7"/>
        <v>0.20423510163470199</v>
      </c>
      <c r="Y7" s="93">
        <f t="shared" ca="1" si="8"/>
        <v>1.8496325863946641E-2</v>
      </c>
      <c r="Z7" s="290">
        <f t="shared" ca="1" si="9"/>
        <v>0</v>
      </c>
      <c r="AA7" s="290">
        <f t="shared" ca="1" si="10"/>
        <v>0</v>
      </c>
      <c r="AB7" s="93">
        <f t="shared" ca="1" si="11"/>
        <v>0.36965066142838282</v>
      </c>
      <c r="AC7" s="291">
        <f t="shared" ca="1" si="12"/>
        <v>0</v>
      </c>
      <c r="AD7" s="93">
        <f t="shared" ca="1" si="13"/>
        <v>0</v>
      </c>
      <c r="AE7" s="93">
        <f t="shared" ca="1" si="14"/>
        <v>0.36965066142838282</v>
      </c>
      <c r="AF7" s="93">
        <f t="shared" ca="1" si="15"/>
        <v>0.36965066142838282</v>
      </c>
      <c r="AG7" s="292">
        <f t="shared" ca="1" si="16"/>
        <v>0.2</v>
      </c>
      <c r="AH7" s="292">
        <f t="shared" ca="1" si="17"/>
        <v>0.12</v>
      </c>
      <c r="AI7" s="292">
        <f t="shared" ca="1" si="18"/>
        <v>6.7000000000000004E-2</v>
      </c>
      <c r="AJ7" s="292">
        <f t="shared" ca="1" si="19"/>
        <v>30</v>
      </c>
      <c r="AK7" s="293" t="b">
        <f t="shared" ca="1" si="20"/>
        <v>1</v>
      </c>
      <c r="AL7" s="293" t="b">
        <f t="shared" ca="1" si="21"/>
        <v>1</v>
      </c>
      <c r="AM7" s="293" t="b">
        <f t="shared" ca="1" si="22"/>
        <v>1</v>
      </c>
      <c r="AN7" s="294" t="str">
        <f t="shared" ca="1" si="24"/>
        <v>D</v>
      </c>
      <c r="AO7" s="294" t="b">
        <f t="shared" ca="1" si="25"/>
        <v>0</v>
      </c>
      <c r="AP7" s="294" t="b">
        <f t="shared" ca="1" si="26"/>
        <v>0</v>
      </c>
      <c r="AQ7" s="307"/>
      <c r="AR7" s="308"/>
      <c r="AS7" s="309"/>
      <c r="AT7" s="310"/>
    </row>
    <row r="8" spans="2:55" ht="18" customHeight="1" x14ac:dyDescent="0.3">
      <c r="L8" s="305" t="s">
        <v>72</v>
      </c>
      <c r="M8" s="306">
        <f>D50</f>
        <v>6.0276000546442834</v>
      </c>
      <c r="N8" s="88"/>
      <c r="O8" s="88">
        <v>5</v>
      </c>
      <c r="P8" s="93" t="str">
        <f t="shared" ca="1" si="23"/>
        <v>40-50</v>
      </c>
      <c r="Q8" s="93" t="str">
        <f t="shared" ca="1" si="0"/>
        <v>ПРЭМ-40</v>
      </c>
      <c r="R8" s="93">
        <f t="shared" ca="1" si="1"/>
        <v>40</v>
      </c>
      <c r="S8" s="93" t="str">
        <f t="shared" ca="1" si="2"/>
        <v>11,42</v>
      </c>
      <c r="T8" s="93">
        <f t="shared" ca="1" si="3"/>
        <v>2.6647842879933781</v>
      </c>
      <c r="U8" s="289">
        <f t="shared" ca="1" si="4"/>
        <v>371035.28242728469</v>
      </c>
      <c r="V8" s="289">
        <f t="shared" ca="1" si="5"/>
        <v>4.0875226338606262E-2</v>
      </c>
      <c r="W8" s="93">
        <f t="shared" ca="1" si="6"/>
        <v>3.0319510161434582E-2</v>
      </c>
      <c r="X8" s="93">
        <f t="shared" ca="1" si="7"/>
        <v>2.3318371452135389E-2</v>
      </c>
      <c r="Y8" s="93">
        <f t="shared" ca="1" si="8"/>
        <v>3.0319510161434582E-2</v>
      </c>
      <c r="Z8" s="290">
        <f t="shared" ca="1" si="9"/>
        <v>0</v>
      </c>
      <c r="AA8" s="290">
        <f t="shared" ca="1" si="10"/>
        <v>0</v>
      </c>
      <c r="AB8" s="93">
        <f t="shared" ca="1" si="11"/>
        <v>8.9562691228646393E-2</v>
      </c>
      <c r="AC8" s="291">
        <f t="shared" ca="1" si="12"/>
        <v>0</v>
      </c>
      <c r="AD8" s="93">
        <f t="shared" ca="1" si="13"/>
        <v>0</v>
      </c>
      <c r="AE8" s="93">
        <f t="shared" ca="1" si="14"/>
        <v>8.9562691228646393E-2</v>
      </c>
      <c r="AF8" s="93">
        <f t="shared" ca="1" si="15"/>
        <v>8.9562691228646393E-2</v>
      </c>
      <c r="AG8" s="292">
        <f t="shared" ca="1" si="16"/>
        <v>0.3</v>
      </c>
      <c r="AH8" s="292">
        <f t="shared" ca="1" si="17"/>
        <v>0.18</v>
      </c>
      <c r="AI8" s="292">
        <f t="shared" ca="1" si="18"/>
        <v>0.1</v>
      </c>
      <c r="AJ8" s="292">
        <f t="shared" ca="1" si="19"/>
        <v>45</v>
      </c>
      <c r="AK8" s="293" t="b">
        <f t="shared" ca="1" si="20"/>
        <v>1</v>
      </c>
      <c r="AL8" s="293" t="b">
        <f t="shared" ca="1" si="21"/>
        <v>1</v>
      </c>
      <c r="AM8" s="293" t="b">
        <f t="shared" ca="1" si="22"/>
        <v>1</v>
      </c>
      <c r="AN8" s="294" t="str">
        <f t="shared" ca="1" si="24"/>
        <v>D</v>
      </c>
      <c r="AO8" s="294" t="b">
        <f t="shared" ca="1" si="25"/>
        <v>1</v>
      </c>
      <c r="AP8" s="294" t="b">
        <f t="shared" ca="1" si="26"/>
        <v>1</v>
      </c>
      <c r="AQ8" s="311"/>
      <c r="AR8" s="312"/>
      <c r="AS8" s="313"/>
      <c r="AT8" s="314"/>
    </row>
    <row r="9" spans="2:55" ht="18" customHeight="1" x14ac:dyDescent="0.35">
      <c r="L9" s="305" t="s">
        <v>73</v>
      </c>
      <c r="M9" s="315">
        <f>D62</f>
        <v>2.8728095835636555E-7</v>
      </c>
      <c r="N9" s="88"/>
      <c r="O9" s="88">
        <v>6</v>
      </c>
      <c r="P9" s="93" t="str">
        <f t="shared" ca="1" si="23"/>
        <v>50-50</v>
      </c>
      <c r="Q9" s="93" t="str">
        <f t="shared" ca="1" si="0"/>
        <v>ПРЭМ-50</v>
      </c>
      <c r="R9" s="93">
        <f t="shared" ca="1" si="1"/>
        <v>50</v>
      </c>
      <c r="S9" s="93">
        <f t="shared" ca="1" si="2"/>
        <v>0</v>
      </c>
      <c r="T9" s="93">
        <f t="shared" ca="1" si="3"/>
        <v>1.7054619443157619</v>
      </c>
      <c r="U9" s="289">
        <f t="shared" ca="1" si="4"/>
        <v>296828.22594182781</v>
      </c>
      <c r="V9" s="289">
        <f t="shared" ca="1" si="5"/>
        <v>3.7850686611455138E-2</v>
      </c>
      <c r="W9" s="93">
        <f t="shared" ca="1" si="6"/>
        <v>0</v>
      </c>
      <c r="X9" s="93">
        <f t="shared" ca="1" si="7"/>
        <v>0</v>
      </c>
      <c r="Y9" s="93">
        <f t="shared" ca="1" si="8"/>
        <v>0</v>
      </c>
      <c r="Z9" s="290">
        <f t="shared" ca="1" si="9"/>
        <v>0</v>
      </c>
      <c r="AA9" s="290">
        <f t="shared" ca="1" si="10"/>
        <v>0</v>
      </c>
      <c r="AB9" s="93">
        <f t="shared" ca="1" si="11"/>
        <v>2.2444958993926584E-2</v>
      </c>
      <c r="AC9" s="291">
        <f t="shared" ca="1" si="12"/>
        <v>0</v>
      </c>
      <c r="AD9" s="93">
        <f t="shared" ca="1" si="13"/>
        <v>0</v>
      </c>
      <c r="AE9" s="93">
        <f t="shared" ca="1" si="14"/>
        <v>2.2444958993926584E-2</v>
      </c>
      <c r="AF9" s="93">
        <f t="shared" ca="1" si="15"/>
        <v>2.2444958993926584E-2</v>
      </c>
      <c r="AG9" s="292">
        <f t="shared" ca="1" si="16"/>
        <v>0.48</v>
      </c>
      <c r="AH9" s="292">
        <f t="shared" ca="1" si="17"/>
        <v>0.28799999999999998</v>
      </c>
      <c r="AI9" s="292">
        <f t="shared" ca="1" si="18"/>
        <v>0.16</v>
      </c>
      <c r="AJ9" s="292">
        <f t="shared" ca="1" si="19"/>
        <v>72</v>
      </c>
      <c r="AK9" s="293" t="b">
        <f t="shared" ca="1" si="20"/>
        <v>1</v>
      </c>
      <c r="AL9" s="293" t="b">
        <f t="shared" ca="1" si="21"/>
        <v>1</v>
      </c>
      <c r="AM9" s="293" t="b">
        <f t="shared" ca="1" si="22"/>
        <v>1</v>
      </c>
      <c r="AN9" s="294" t="str">
        <f t="shared" ca="1" si="24"/>
        <v>D</v>
      </c>
      <c r="AO9" s="294" t="b">
        <f t="shared" ca="1" si="25"/>
        <v>1</v>
      </c>
      <c r="AP9" s="294" t="b">
        <f t="shared" ca="1" si="26"/>
        <v>1</v>
      </c>
      <c r="AQ9" s="91"/>
      <c r="AS9" s="316"/>
      <c r="AT9" s="317"/>
    </row>
    <row r="10" spans="2:55" ht="18" customHeight="1" thickBot="1" x14ac:dyDescent="0.35">
      <c r="L10" s="318" t="s">
        <v>102</v>
      </c>
      <c r="M10" s="319">
        <f>(M7/3.6)/((PI()*M6^2)/4000)</f>
        <v>1.7054619443157619</v>
      </c>
      <c r="O10" s="88">
        <v>7</v>
      </c>
      <c r="P10" s="93" t="str">
        <f t="shared" ca="1" si="23"/>
        <v>---</v>
      </c>
      <c r="Q10" s="93" t="str">
        <f t="shared" ca="1" si="0"/>
        <v>---</v>
      </c>
      <c r="R10" s="93" t="str">
        <f t="shared" ca="1" si="1"/>
        <v>---</v>
      </c>
      <c r="S10" s="93" t="str">
        <f t="shared" ca="1" si="2"/>
        <v>---</v>
      </c>
      <c r="T10" s="93" t="str">
        <f t="shared" ca="1" si="3"/>
        <v>---</v>
      </c>
      <c r="U10" s="289" t="str">
        <f t="shared" ca="1" si="4"/>
        <v>---</v>
      </c>
      <c r="V10" s="289" t="str">
        <f t="shared" ca="1" si="5"/>
        <v>---</v>
      </c>
      <c r="W10" s="93" t="str">
        <f t="shared" ca="1" si="6"/>
        <v>---</v>
      </c>
      <c r="X10" s="93" t="str">
        <f t="shared" ca="1" si="7"/>
        <v>---</v>
      </c>
      <c r="Y10" s="93" t="str">
        <f t="shared" ca="1" si="8"/>
        <v>---</v>
      </c>
      <c r="Z10" s="290" t="str">
        <f t="shared" ca="1" si="9"/>
        <v>---</v>
      </c>
      <c r="AA10" s="290" t="str">
        <f t="shared" ca="1" si="10"/>
        <v>---</v>
      </c>
      <c r="AB10" s="93" t="str">
        <f t="shared" ca="1" si="11"/>
        <v>--</v>
      </c>
      <c r="AC10" s="291" t="str">
        <f t="shared" ca="1" si="12"/>
        <v>--</v>
      </c>
      <c r="AD10" s="93" t="str">
        <f t="shared" ca="1" si="13"/>
        <v>--</v>
      </c>
      <c r="AE10" s="93" t="str">
        <f t="shared" ca="1" si="14"/>
        <v>---</v>
      </c>
      <c r="AF10" s="93" t="str">
        <f t="shared" ca="1" si="15"/>
        <v>---</v>
      </c>
      <c r="AG10" s="292" t="str">
        <f t="shared" ca="1" si="16"/>
        <v>---</v>
      </c>
      <c r="AH10" s="292" t="str">
        <f t="shared" ca="1" si="17"/>
        <v>---</v>
      </c>
      <c r="AI10" s="292" t="str">
        <f t="shared" ca="1" si="18"/>
        <v>---</v>
      </c>
      <c r="AJ10" s="292" t="str">
        <f t="shared" ca="1" si="19"/>
        <v>---</v>
      </c>
      <c r="AK10" s="293" t="str">
        <f t="shared" ca="1" si="20"/>
        <v>---</v>
      </c>
      <c r="AL10" s="293" t="str">
        <f t="shared" ca="1" si="21"/>
        <v>---</v>
      </c>
      <c r="AM10" s="293" t="str">
        <f t="shared" ca="1" si="22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</row>
    <row r="11" spans="2:55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0"/>
        <v>---</v>
      </c>
      <c r="R11" s="93" t="str">
        <f t="shared" ca="1" si="1"/>
        <v>---</v>
      </c>
      <c r="S11" s="93" t="str">
        <f t="shared" ca="1" si="2"/>
        <v>---</v>
      </c>
      <c r="T11" s="93" t="str">
        <f t="shared" ca="1" si="3"/>
        <v>---</v>
      </c>
      <c r="U11" s="289" t="str">
        <f t="shared" ca="1" si="4"/>
        <v>---</v>
      </c>
      <c r="V11" s="289" t="str">
        <f t="shared" ca="1" si="5"/>
        <v>---</v>
      </c>
      <c r="W11" s="93" t="str">
        <f t="shared" ca="1" si="6"/>
        <v>---</v>
      </c>
      <c r="X11" s="93" t="str">
        <f t="shared" ca="1" si="7"/>
        <v>---</v>
      </c>
      <c r="Y11" s="93" t="str">
        <f t="shared" ca="1" si="8"/>
        <v>---</v>
      </c>
      <c r="Z11" s="290" t="str">
        <f t="shared" ca="1" si="9"/>
        <v>---</v>
      </c>
      <c r="AA11" s="290" t="str">
        <f t="shared" ca="1" si="10"/>
        <v>---</v>
      </c>
      <c r="AB11" s="93" t="str">
        <f t="shared" ca="1" si="11"/>
        <v>--</v>
      </c>
      <c r="AC11" s="291" t="str">
        <f t="shared" ca="1" si="12"/>
        <v>--</v>
      </c>
      <c r="AD11" s="93" t="str">
        <f t="shared" ca="1" si="13"/>
        <v>--</v>
      </c>
      <c r="AE11" s="93" t="str">
        <f t="shared" ca="1" si="14"/>
        <v>---</v>
      </c>
      <c r="AF11" s="93" t="str">
        <f t="shared" ca="1" si="15"/>
        <v>---</v>
      </c>
      <c r="AG11" s="292" t="str">
        <f t="shared" ca="1" si="16"/>
        <v>---</v>
      </c>
      <c r="AH11" s="292" t="str">
        <f t="shared" ca="1" si="17"/>
        <v>---</v>
      </c>
      <c r="AI11" s="292" t="str">
        <f t="shared" ca="1" si="18"/>
        <v>---</v>
      </c>
      <c r="AJ11" s="292" t="str">
        <f t="shared" ca="1" si="19"/>
        <v>---</v>
      </c>
      <c r="AK11" s="293" t="str">
        <f t="shared" ca="1" si="20"/>
        <v>---</v>
      </c>
      <c r="AL11" s="293" t="str">
        <f t="shared" ca="1" si="21"/>
        <v>---</v>
      </c>
      <c r="AM11" s="293" t="str">
        <f t="shared" ca="1" si="22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T11" s="91"/>
    </row>
    <row r="12" spans="2:55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0"/>
        <v>---</v>
      </c>
      <c r="R12" s="93" t="str">
        <f t="shared" ca="1" si="1"/>
        <v>---</v>
      </c>
      <c r="S12" s="93" t="str">
        <f t="shared" ca="1" si="2"/>
        <v>---</v>
      </c>
      <c r="T12" s="93" t="str">
        <f t="shared" ca="1" si="3"/>
        <v>---</v>
      </c>
      <c r="U12" s="289" t="str">
        <f t="shared" ca="1" si="4"/>
        <v>---</v>
      </c>
      <c r="V12" s="289" t="str">
        <f t="shared" ca="1" si="5"/>
        <v>---</v>
      </c>
      <c r="W12" s="93" t="str">
        <f t="shared" ca="1" si="6"/>
        <v>---</v>
      </c>
      <c r="X12" s="93" t="str">
        <f t="shared" ca="1" si="7"/>
        <v>---</v>
      </c>
      <c r="Y12" s="93" t="str">
        <f t="shared" ca="1" si="8"/>
        <v>---</v>
      </c>
      <c r="Z12" s="290" t="str">
        <f t="shared" ca="1" si="9"/>
        <v>---</v>
      </c>
      <c r="AA12" s="290" t="str">
        <f t="shared" ca="1" si="10"/>
        <v>---</v>
      </c>
      <c r="AB12" s="93" t="str">
        <f t="shared" ca="1" si="11"/>
        <v>--</v>
      </c>
      <c r="AC12" s="291" t="str">
        <f t="shared" ca="1" si="12"/>
        <v>--</v>
      </c>
      <c r="AD12" s="93" t="str">
        <f t="shared" ca="1" si="13"/>
        <v>--</v>
      </c>
      <c r="AE12" s="93" t="str">
        <f t="shared" ca="1" si="14"/>
        <v>---</v>
      </c>
      <c r="AF12" s="93" t="str">
        <f t="shared" ca="1" si="15"/>
        <v>---</v>
      </c>
      <c r="AG12" s="292" t="str">
        <f t="shared" ca="1" si="16"/>
        <v>---</v>
      </c>
      <c r="AH12" s="292" t="str">
        <f t="shared" ca="1" si="17"/>
        <v>---</v>
      </c>
      <c r="AI12" s="292" t="str">
        <f t="shared" ca="1" si="18"/>
        <v>---</v>
      </c>
      <c r="AJ12" s="292" t="str">
        <f t="shared" ca="1" si="19"/>
        <v>---</v>
      </c>
      <c r="AK12" s="293" t="str">
        <f t="shared" ca="1" si="20"/>
        <v>---</v>
      </c>
      <c r="AL12" s="293" t="str">
        <f t="shared" ca="1" si="21"/>
        <v>---</v>
      </c>
      <c r="AM12" s="293" t="str">
        <f t="shared" ca="1" si="22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T12" s="91"/>
    </row>
    <row r="13" spans="2:55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0"/>
        <v>---</v>
      </c>
      <c r="R13" s="93" t="str">
        <f t="shared" ca="1" si="1"/>
        <v>---</v>
      </c>
      <c r="S13" s="93" t="str">
        <f t="shared" ca="1" si="2"/>
        <v>---</v>
      </c>
      <c r="T13" s="93" t="str">
        <f t="shared" ca="1" si="3"/>
        <v>---</v>
      </c>
      <c r="U13" s="289" t="str">
        <f t="shared" ca="1" si="4"/>
        <v>---</v>
      </c>
      <c r="V13" s="289" t="str">
        <f t="shared" ca="1" si="5"/>
        <v>---</v>
      </c>
      <c r="W13" s="93" t="str">
        <f t="shared" ca="1" si="6"/>
        <v>---</v>
      </c>
      <c r="X13" s="93" t="str">
        <f t="shared" ca="1" si="7"/>
        <v>---</v>
      </c>
      <c r="Y13" s="93" t="str">
        <f t="shared" ca="1" si="8"/>
        <v>---</v>
      </c>
      <c r="Z13" s="290" t="str">
        <f t="shared" ca="1" si="9"/>
        <v>---</v>
      </c>
      <c r="AA13" s="290" t="str">
        <f t="shared" ca="1" si="10"/>
        <v>---</v>
      </c>
      <c r="AB13" s="93" t="str">
        <f t="shared" ca="1" si="11"/>
        <v>--</v>
      </c>
      <c r="AC13" s="291" t="str">
        <f t="shared" ca="1" si="12"/>
        <v>--</v>
      </c>
      <c r="AD13" s="93" t="str">
        <f t="shared" ca="1" si="13"/>
        <v>--</v>
      </c>
      <c r="AE13" s="93" t="str">
        <f t="shared" ca="1" si="14"/>
        <v>---</v>
      </c>
      <c r="AF13" s="93" t="str">
        <f t="shared" ca="1" si="15"/>
        <v>---</v>
      </c>
      <c r="AG13" s="292" t="str">
        <f t="shared" ca="1" si="16"/>
        <v>---</v>
      </c>
      <c r="AH13" s="292" t="str">
        <f t="shared" ca="1" si="17"/>
        <v>---</v>
      </c>
      <c r="AI13" s="292" t="str">
        <f t="shared" ca="1" si="18"/>
        <v>---</v>
      </c>
      <c r="AJ13" s="292" t="str">
        <f t="shared" ca="1" si="19"/>
        <v>---</v>
      </c>
      <c r="AK13" s="293" t="str">
        <f t="shared" ca="1" si="20"/>
        <v>---</v>
      </c>
      <c r="AL13" s="293" t="str">
        <f t="shared" ca="1" si="21"/>
        <v>---</v>
      </c>
      <c r="AM13" s="293" t="str">
        <f t="shared" ca="1" si="22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T13" s="91"/>
    </row>
    <row r="14" spans="2:55" ht="18" customHeight="1" thickBot="1" x14ac:dyDescent="0.35">
      <c r="T14" s="321" t="s">
        <v>411</v>
      </c>
      <c r="Z14" s="322"/>
      <c r="AA14" s="322"/>
      <c r="AS14" s="41"/>
      <c r="AT14" s="91"/>
    </row>
    <row r="15" spans="2:55" ht="18" customHeight="1" thickBot="1" x14ac:dyDescent="0.35">
      <c r="N15" s="262"/>
      <c r="O15" s="263" t="s">
        <v>406</v>
      </c>
      <c r="P15" s="264">
        <f>MATCH(M19,DyTr_New,0)</f>
        <v>16</v>
      </c>
      <c r="Q15" s="265">
        <f ca="1">MATCH(TRUE,AO17:AO27,0)</f>
        <v>5</v>
      </c>
      <c r="R15" s="266" t="s">
        <v>103</v>
      </c>
      <c r="S15" s="267"/>
      <c r="T15" s="323">
        <f ca="1">IF(M6=M19,Q2,Q15)</f>
        <v>5</v>
      </c>
      <c r="U15" s="268">
        <f ca="1">MATCH(TRUE,AO17:AO27,0)</f>
        <v>5</v>
      </c>
      <c r="V15" s="269" t="s">
        <v>407</v>
      </c>
      <c r="W15" s="270"/>
      <c r="X15" s="270"/>
      <c r="Y15" s="270"/>
      <c r="Z15" s="838" t="s">
        <v>206</v>
      </c>
      <c r="AA15" s="838"/>
      <c r="AB15" s="258"/>
      <c r="AG15" s="826" t="s">
        <v>75</v>
      </c>
      <c r="AH15" s="826"/>
      <c r="AI15" s="826"/>
      <c r="AJ15" s="271" t="s">
        <v>66</v>
      </c>
      <c r="AK15" s="810" t="s">
        <v>65</v>
      </c>
      <c r="AL15" s="810"/>
      <c r="AM15" s="810"/>
      <c r="AN15" s="272"/>
      <c r="AO15" s="273">
        <f ca="1">MATCH(TRUE,AO17:AO26,0)</f>
        <v>5</v>
      </c>
      <c r="AP15" s="273">
        <f ca="1">MATCH(TRUE,AP17:AP26,0)</f>
        <v>5</v>
      </c>
      <c r="AQ15" s="802" t="s">
        <v>69</v>
      </c>
      <c r="AR15" s="803"/>
      <c r="AS15" s="41"/>
      <c r="AT15" s="91"/>
    </row>
    <row r="16" spans="2:55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ПРЭМ-40-D-Cэндвич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ПРЭМ-40-D</v>
      </c>
    </row>
    <row r="17" spans="2:46" ht="18" customHeight="1" x14ac:dyDescent="0.3">
      <c r="L17" s="287" t="s">
        <v>74</v>
      </c>
      <c r="M17" s="288">
        <v>0.5</v>
      </c>
      <c r="N17" s="88">
        <f ca="1">OFFSET(DyTr_New,P15-1,1,1)</f>
        <v>6</v>
      </c>
      <c r="O17" s="88">
        <v>1</v>
      </c>
      <c r="P17" s="93" t="str">
        <f t="shared" ref="P17:P25" ca="1" si="27">IF(O17&lt;=$N$17,OFFSET(DyTr_New,$P$15-2+O17,4,1),"---")</f>
        <v>15-50</v>
      </c>
      <c r="Q17" s="93" t="str">
        <f t="shared" ref="Q17:Q25" ca="1" si="28">IF(O17&lt;=$N$17,OFFSET(DyTr_New,$P$15-2+O17,2,1),"---")</f>
        <v>ПРЭМ-15</v>
      </c>
      <c r="R17" s="93">
        <f t="shared" ref="R17:R25" ca="1" si="29">IF(O17&lt;=$N$17,OFFSET(DyTr_New,$P$15-2+O17,5,1),"---")</f>
        <v>15</v>
      </c>
      <c r="S17" s="93" t="str">
        <f t="shared" ref="S17:S25" ca="1" si="30">IF(O17&lt;=$N$17,OFFSET(DyTr_New,$P$15-2+O17,6,1),"---")</f>
        <v>30,14</v>
      </c>
      <c r="T17" s="93">
        <f ca="1">IF(O17&lt;=$N$17,($M$20/3.6)/((PI()*R17^2)/4000),"---")</f>
        <v>18.63688689739336</v>
      </c>
      <c r="U17" s="289">
        <f ca="1">IF(O17&lt;=$N$17,(T17*R17/$M$22/1000),"---")</f>
        <v>697611.13406908629</v>
      </c>
      <c r="V17" s="289">
        <f ca="1">IF(O17&lt;=$N$17,(1/(1.14+2*LOG((R17/$M$17),10))^2),"---")</f>
        <v>5.9655827422120798E-2</v>
      </c>
      <c r="W17" s="93">
        <f ca="1">IF(O17&lt;=$N$17,(IF(S17=0,0,(V17/(8*SIN(RADIANS(S17/2))))*(1-(R17/$M$19)^4))),"---")</f>
        <v>2.8448487298016373E-2</v>
      </c>
      <c r="X17" s="93">
        <f ca="1">IF(O17&lt;=$N$17,(3.2*TAN(RADIANS(S17/2))^1.25*(1-(R17/$M$19)^2)^2),"---")</f>
        <v>0.51397936922726728</v>
      </c>
      <c r="Y17" s="93">
        <f ca="1">IF(O17&lt;=$N$17,(IF(S17=0,0,V17/(8*SIN(RADIANS(S17/2)))*(1-(R17/$M$19)^4))),"---")</f>
        <v>2.8448487298016373E-2</v>
      </c>
      <c r="Z17" s="290">
        <f t="shared" ref="Z17:Z25" ca="1" si="31">IF(O17&lt;=$N$17,VLOOKUP(Q17&amp;"-Сэндвич",TypePFlow,3,FALSE),"---")</f>
        <v>0</v>
      </c>
      <c r="AA17" s="290">
        <f t="shared" ref="AA17:AA25" ca="1" si="32">IF(O17&lt;=$N$17,VLOOKUP(Q17&amp;"-Фланец",TypePFlow,3,FALSE),"---")</f>
        <v>0</v>
      </c>
      <c r="AB17" s="93">
        <f t="shared" ref="AB17:AB25" ca="1" si="33">IF(O17&lt;=$N$17,(V17*4+W17+X17+Y17)*T17^2/(2*9.81),"--")</f>
        <v>14.330600967872151</v>
      </c>
      <c r="AC17" s="291">
        <f t="shared" ref="AC17:AC25" ca="1" si="34">IF(O17&lt;=$N$17,(Z17*$M$20^2),"--")</f>
        <v>0</v>
      </c>
      <c r="AD17" s="93">
        <f t="shared" ref="AD17:AD25" ca="1" si="35">IF(O17&lt;=$N$17,(AA17*$M$20^2),"--")</f>
        <v>0</v>
      </c>
      <c r="AE17" s="93">
        <f t="shared" ref="AE17:AE25" ca="1" si="36">IF(O17&lt;=$N$17,(AB17+AC17),"---")</f>
        <v>14.330600967872151</v>
      </c>
      <c r="AF17" s="93">
        <f t="shared" ref="AF17:AF25" ca="1" si="37">IF(O17&lt;=$N$17,(AB17+AD17),"---")</f>
        <v>14.330600967872151</v>
      </c>
      <c r="AG17" s="292">
        <f t="shared" ref="AG17:AG25" ca="1" si="38">IF(O17&lt;=$N$17,VLOOKUP(Q17&amp;"-D",ParamPiterflow,2,FALSE),"---")</f>
        <v>0.04</v>
      </c>
      <c r="AH17" s="292">
        <f t="shared" ref="AH17:AH25" ca="1" si="39">IF(O17&lt;=$N$17,VLOOKUP(Q17&amp;"-C1",ParamPiterflow,2,FALSE),"---")</f>
        <v>2.4E-2</v>
      </c>
      <c r="AI17" s="292">
        <f t="shared" ref="AI17:AI25" ca="1" si="40">IF(O17&lt;=$N$17,VLOOKUP(Q17&amp;"-B1",ParamPiterflow,2,FALSE),"---")</f>
        <v>1.2999999999999999E-2</v>
      </c>
      <c r="AJ17" s="292">
        <f t="shared" ref="AJ17:AJ25" ca="1" si="41">IF(O17&lt;=$N$17,VLOOKUP(Q17&amp;"-D",ParamPiterflow,4,FALSE),"---")</f>
        <v>6</v>
      </c>
      <c r="AK17" s="293" t="b">
        <f t="shared" ref="AK17:AK25" ca="1" si="42">IF($O17&lt;=$N$17,AND(AG17&lt;$M$21,$AJ17&gt;$M$20),"---")</f>
        <v>0</v>
      </c>
      <c r="AL17" s="293" t="b">
        <f t="shared" ref="AL17:AL25" ca="1" si="43">IF($O17&lt;=$N$17,AND(AH17&lt;$M$21,$AJ17&gt;$M$20),"---")</f>
        <v>0</v>
      </c>
      <c r="AM17" s="293" t="b">
        <f t="shared" ref="AM17:AM25" ca="1" si="44">IF($O17&lt;=$N$17,AND(AI17&lt;$M$21,$AJ17&gt;$M$20),"---")</f>
        <v>0</v>
      </c>
      <c r="AN17" s="294" t="str">
        <f ca="1">IF($O17&lt;=$N$17,IF(AK17,"D",IF(AL17,"C1",IF(AM17,"B1","НЕТ"))),"---")</f>
        <v>НЕТ</v>
      </c>
      <c r="AO17" s="294" t="b">
        <f ca="1">IF($O17&lt;=$N$17,AND(AE17&lt;$M$18,NOT(AN17="НЕТ"),IF($F$27="Экономный",T17&lt;=3,IF(AND($F$27="Оптимальный",T17&gt;$E$52),T17&lt;=1.8,IF(AND($F$27="Затратный",T17&gt;$E$52),T17&lt;=1,T17&lt;=3)))),"---")</f>
        <v>0</v>
      </c>
      <c r="AP17" s="294" t="b">
        <f ca="1">IF($O17&lt;=$N$17,AND(AF17&lt;$M$18,NOT(AN17="НЕТ"),IF($F$27="Экономный",T17&lt;=3,IF(AND($F$27="Оптимальный",T17&gt;$E$52),T17&lt;=1.8,IF(AND($F$27="Затратный",T17&gt;$E$52),T17&lt;=1,T17&lt;=3)))),"---")</f>
        <v>0</v>
      </c>
      <c r="AQ17" s="295"/>
      <c r="AR17" s="296"/>
      <c r="AS17" s="41"/>
      <c r="AT17" s="91"/>
    </row>
    <row r="18" spans="2:46" ht="18" customHeight="1" x14ac:dyDescent="0.3">
      <c r="L18" s="297" t="s">
        <v>189</v>
      </c>
      <c r="M18" s="298">
        <f>E33</f>
        <v>0.5</v>
      </c>
      <c r="N18" s="88"/>
      <c r="O18" s="88">
        <v>2</v>
      </c>
      <c r="P18" s="93" t="str">
        <f t="shared" ca="1" si="27"/>
        <v>20-50</v>
      </c>
      <c r="Q18" s="93" t="str">
        <f t="shared" ca="1" si="28"/>
        <v>ПРЭМ-20</v>
      </c>
      <c r="R18" s="93">
        <f t="shared" ca="1" si="29"/>
        <v>20</v>
      </c>
      <c r="S18" s="93" t="str">
        <f t="shared" ca="1" si="30"/>
        <v>46,4</v>
      </c>
      <c r="T18" s="93">
        <f t="shared" ref="T18:T25" ca="1" si="45">IF(O18&lt;=$N$17,($M$20/3.6)/((PI()*R18^2)/4000),"---")</f>
        <v>10.483248879783764</v>
      </c>
      <c r="U18" s="289">
        <f t="shared" ref="U18:U25" ca="1" si="46">IF(O18&lt;=$N$17,(T18*R18/$M$22/1000),"---")</f>
        <v>523208.35055181471</v>
      </c>
      <c r="V18" s="289">
        <f t="shared" ref="V18:V24" ca="1" si="47">IF(O18&lt;=$N$17,(1/(1.14+2*LOG((R18/$M$17),10))^2),"---")</f>
        <v>5.2990299783484442E-2</v>
      </c>
      <c r="W18" s="93">
        <f t="shared" ref="W18:W25" ca="1" si="48">IF(O18&lt;=$N$17,(IF(S18=0,0,(V18/(8*SIN(RADIANS(S18/2))))*(1-(R18/$M$19)^4))),"---")</f>
        <v>1.6383680833374978E-2</v>
      </c>
      <c r="X18" s="93">
        <f t="shared" ref="X18:X25" ca="1" si="49">IF(O18&lt;=$N$17,(3.2*TAN(RADIANS(S18/2))^1.25*(1-(R18/$M$19)^2)^2),"---")</f>
        <v>0.78302287976523621</v>
      </c>
      <c r="Y18" s="93">
        <f t="shared" ref="Y18:Y25" ca="1" si="50">IF(O18&lt;=$N$17,(IF(S18=0,0,V18/(8*SIN(RADIANS(S18/2)))*(1-(R18/$M$19)^4))),"---")</f>
        <v>1.6383680833374978E-2</v>
      </c>
      <c r="Z18" s="290">
        <f t="shared" ca="1" si="31"/>
        <v>0</v>
      </c>
      <c r="AA18" s="290">
        <f t="shared" ca="1" si="32"/>
        <v>0</v>
      </c>
      <c r="AB18" s="93">
        <f t="shared" ca="1" si="33"/>
        <v>5.7567965832251131</v>
      </c>
      <c r="AC18" s="291">
        <f t="shared" ca="1" si="34"/>
        <v>0</v>
      </c>
      <c r="AD18" s="93">
        <f t="shared" ca="1" si="35"/>
        <v>0</v>
      </c>
      <c r="AE18" s="93">
        <f t="shared" ca="1" si="36"/>
        <v>5.7567965832251131</v>
      </c>
      <c r="AF18" s="93">
        <f t="shared" ca="1" si="37"/>
        <v>5.7567965832251131</v>
      </c>
      <c r="AG18" s="292">
        <f t="shared" ca="1" si="38"/>
        <v>0.08</v>
      </c>
      <c r="AH18" s="292">
        <f t="shared" ca="1" si="39"/>
        <v>4.8000000000000001E-2</v>
      </c>
      <c r="AI18" s="292">
        <f t="shared" ca="1" si="40"/>
        <v>2.7E-2</v>
      </c>
      <c r="AJ18" s="292">
        <f t="shared" ca="1" si="41"/>
        <v>12</v>
      </c>
      <c r="AK18" s="293" t="b">
        <f t="shared" ca="1" si="42"/>
        <v>1</v>
      </c>
      <c r="AL18" s="293" t="b">
        <f t="shared" ca="1" si="43"/>
        <v>1</v>
      </c>
      <c r="AM18" s="293" t="b">
        <f t="shared" ca="1" si="44"/>
        <v>1</v>
      </c>
      <c r="AN18" s="294" t="str">
        <f t="shared" ref="AN18:AN25" ca="1" si="51">IF($O18&lt;=$N$17,IF(AK18,"D",IF(AL18,"C1",IF(AM18,"B1","НЕТ"))),"---")</f>
        <v>D</v>
      </c>
      <c r="AO18" s="294" t="b">
        <f t="shared" ref="AO18:AO26" ca="1" si="52">IF($O18&lt;=$N$17,AND(AE18&lt;$M$18,NOT(AN18="НЕТ"),IF($F$27="Экономный",T18&lt;=3,IF(AND($F$27="Оптимальный",T18&gt;$E$52),T18&lt;=1.8,IF(AND($F$27="Затратный",T18&gt;$E$52),T18&lt;=1,T18&lt;=3)))),"---")</f>
        <v>0</v>
      </c>
      <c r="AP18" s="294" t="b">
        <f t="shared" ref="AP18:AP26" ca="1" si="53">IF($O18&lt;=$N$17,AND(AF18&lt;$M$18,NOT(AN18="НЕТ"),IF($F$27="Экономный",T18&lt;=3,IF(AND($F$27="Оптимальный",T18&gt;$E$52),T18&lt;=1.8,IF(AND($F$27="Затратный",T18&gt;$E$52),T18&lt;=1,T18&lt;=3)))),"---")</f>
        <v>0</v>
      </c>
      <c r="AQ18" s="299" t="s">
        <v>18</v>
      </c>
      <c r="AR18" s="300">
        <f ca="1">OFFSET(T17,IF(ISERROR(AO15),IF(ISERROR(AP15),"НЕТ",AP15),AO15)-1,0,1)</f>
        <v>2.6208122199459409</v>
      </c>
      <c r="AS18" s="41"/>
      <c r="AT18" s="91"/>
    </row>
    <row r="19" spans="2:46" ht="18" customHeight="1" x14ac:dyDescent="0.3">
      <c r="L19" s="302" t="s">
        <v>410</v>
      </c>
      <c r="M19" s="303">
        <f>$E$34</f>
        <v>50</v>
      </c>
      <c r="N19" s="88"/>
      <c r="O19" s="88">
        <v>3</v>
      </c>
      <c r="P19" s="93" t="str">
        <f t="shared" ca="1" si="27"/>
        <v>25-50</v>
      </c>
      <c r="Q19" s="93" t="str">
        <f t="shared" ca="1" si="28"/>
        <v>ПРЭМ-25</v>
      </c>
      <c r="R19" s="93">
        <f t="shared" ca="1" si="29"/>
        <v>25</v>
      </c>
      <c r="S19" s="93" t="str">
        <f t="shared" ca="1" si="30"/>
        <v>39,3</v>
      </c>
      <c r="T19" s="93">
        <f t="shared" ca="1" si="45"/>
        <v>6.7092792830616093</v>
      </c>
      <c r="U19" s="289">
        <f t="shared" ca="1" si="46"/>
        <v>418566.68044145172</v>
      </c>
      <c r="V19" s="289">
        <f t="shared" ca="1" si="47"/>
        <v>4.8560427292756572E-2</v>
      </c>
      <c r="W19" s="93">
        <f t="shared" ca="1" si="48"/>
        <v>1.6922755912707779E-2</v>
      </c>
      <c r="X19" s="93">
        <f t="shared" ca="1" si="49"/>
        <v>0.49683315067415684</v>
      </c>
      <c r="Y19" s="93">
        <f t="shared" ca="1" si="50"/>
        <v>1.6922755912707779E-2</v>
      </c>
      <c r="Z19" s="290">
        <f t="shared" ca="1" si="31"/>
        <v>0</v>
      </c>
      <c r="AA19" s="290">
        <f t="shared" ca="1" si="32"/>
        <v>0</v>
      </c>
      <c r="AB19" s="93">
        <f t="shared" ca="1" si="33"/>
        <v>1.6631945075125645</v>
      </c>
      <c r="AC19" s="291">
        <f t="shared" ca="1" si="34"/>
        <v>0</v>
      </c>
      <c r="AD19" s="93">
        <f t="shared" ca="1" si="35"/>
        <v>0</v>
      </c>
      <c r="AE19" s="93">
        <f t="shared" ca="1" si="36"/>
        <v>1.6631945075125645</v>
      </c>
      <c r="AF19" s="93">
        <f t="shared" ca="1" si="37"/>
        <v>1.6631945075125645</v>
      </c>
      <c r="AG19" s="292">
        <f t="shared" ca="1" si="38"/>
        <v>0.12</v>
      </c>
      <c r="AH19" s="292">
        <f t="shared" ca="1" si="39"/>
        <v>7.1999999999999995E-2</v>
      </c>
      <c r="AI19" s="292">
        <f t="shared" ca="1" si="40"/>
        <v>0.04</v>
      </c>
      <c r="AJ19" s="292">
        <f t="shared" ca="1" si="41"/>
        <v>18</v>
      </c>
      <c r="AK19" s="293" t="b">
        <f t="shared" ca="1" si="42"/>
        <v>1</v>
      </c>
      <c r="AL19" s="293" t="b">
        <f t="shared" ca="1" si="43"/>
        <v>1</v>
      </c>
      <c r="AM19" s="293" t="b">
        <f t="shared" ca="1" si="44"/>
        <v>1</v>
      </c>
      <c r="AN19" s="294" t="str">
        <f t="shared" ca="1" si="51"/>
        <v>D</v>
      </c>
      <c r="AO19" s="294" t="b">
        <f t="shared" ca="1" si="52"/>
        <v>0</v>
      </c>
      <c r="AP19" s="294" t="b">
        <f t="shared" ca="1" si="53"/>
        <v>0</v>
      </c>
      <c r="AQ19" s="65" t="s">
        <v>22</v>
      </c>
      <c r="AR19" s="300">
        <f ca="1">IF(ISERROR(AO15),IF(ISERROR(AP15),"НЕТ",OFFSET(AF17,AP15-1,0,1)),OFFSET(AE17,AO15-1,0,1))</f>
        <v>8.6631299114318036E-2</v>
      </c>
      <c r="AS19" s="41"/>
      <c r="AT19" s="91"/>
    </row>
    <row r="20" spans="2:46" ht="18" customHeight="1" x14ac:dyDescent="0.3">
      <c r="L20" s="305" t="s">
        <v>71</v>
      </c>
      <c r="M20" s="306">
        <f>E49</f>
        <v>11.856275159933558</v>
      </c>
      <c r="N20" s="88"/>
      <c r="O20" s="88">
        <v>4</v>
      </c>
      <c r="P20" s="93" t="str">
        <f t="shared" ca="1" si="27"/>
        <v>32-50</v>
      </c>
      <c r="Q20" s="93" t="str">
        <f t="shared" ca="1" si="28"/>
        <v>ПРЭМ-32</v>
      </c>
      <c r="R20" s="93">
        <f t="shared" ca="1" si="29"/>
        <v>32</v>
      </c>
      <c r="S20" s="93" t="str">
        <f t="shared" ca="1" si="30"/>
        <v>28,84</v>
      </c>
      <c r="T20" s="93">
        <f t="shared" ca="1" si="45"/>
        <v>4.0950190936655328</v>
      </c>
      <c r="U20" s="289">
        <f t="shared" ca="1" si="46"/>
        <v>327005.21909488423</v>
      </c>
      <c r="V20" s="289">
        <f t="shared" ca="1" si="47"/>
        <v>4.4277322004702871E-2</v>
      </c>
      <c r="W20" s="93">
        <f t="shared" ca="1" si="48"/>
        <v>1.8496325863946641E-2</v>
      </c>
      <c r="X20" s="93">
        <f t="shared" ca="1" si="49"/>
        <v>0.20423510163470199</v>
      </c>
      <c r="Y20" s="93">
        <f t="shared" ca="1" si="50"/>
        <v>1.8496325863946641E-2</v>
      </c>
      <c r="Z20" s="290">
        <f t="shared" ca="1" si="31"/>
        <v>0</v>
      </c>
      <c r="AA20" s="290">
        <f t="shared" ca="1" si="32"/>
        <v>0</v>
      </c>
      <c r="AB20" s="93">
        <f t="shared" ca="1" si="33"/>
        <v>0.35755197369242486</v>
      </c>
      <c r="AC20" s="291">
        <f t="shared" ca="1" si="34"/>
        <v>0</v>
      </c>
      <c r="AD20" s="93">
        <f t="shared" ca="1" si="35"/>
        <v>0</v>
      </c>
      <c r="AE20" s="93">
        <f t="shared" ca="1" si="36"/>
        <v>0.35755197369242486</v>
      </c>
      <c r="AF20" s="93">
        <f t="shared" ca="1" si="37"/>
        <v>0.35755197369242486</v>
      </c>
      <c r="AG20" s="292">
        <f t="shared" ca="1" si="38"/>
        <v>0.2</v>
      </c>
      <c r="AH20" s="292">
        <f t="shared" ca="1" si="39"/>
        <v>0.12</v>
      </c>
      <c r="AI20" s="292">
        <f t="shared" ca="1" si="40"/>
        <v>6.7000000000000004E-2</v>
      </c>
      <c r="AJ20" s="292">
        <f t="shared" ca="1" si="41"/>
        <v>30</v>
      </c>
      <c r="AK20" s="293" t="b">
        <f t="shared" ca="1" si="42"/>
        <v>1</v>
      </c>
      <c r="AL20" s="293" t="b">
        <f t="shared" ca="1" si="43"/>
        <v>1</v>
      </c>
      <c r="AM20" s="293" t="b">
        <f t="shared" ca="1" si="44"/>
        <v>1</v>
      </c>
      <c r="AN20" s="294" t="str">
        <f t="shared" ca="1" si="51"/>
        <v>D</v>
      </c>
      <c r="AO20" s="294" t="b">
        <f t="shared" ca="1" si="52"/>
        <v>0</v>
      </c>
      <c r="AP20" s="294" t="b">
        <f t="shared" ca="1" si="53"/>
        <v>0</v>
      </c>
      <c r="AQ20" s="307"/>
      <c r="AR20" s="308"/>
      <c r="AS20" s="41"/>
      <c r="AT20" s="91"/>
    </row>
    <row r="21" spans="2:46" ht="18" customHeight="1" x14ac:dyDescent="0.3">
      <c r="L21" s="305" t="s">
        <v>72</v>
      </c>
      <c r="M21" s="306">
        <f>E50</f>
        <v>5.928137579966779</v>
      </c>
      <c r="N21" s="88"/>
      <c r="O21" s="88">
        <v>5</v>
      </c>
      <c r="P21" s="93" t="str">
        <f t="shared" ca="1" si="27"/>
        <v>40-50</v>
      </c>
      <c r="Q21" s="93" t="str">
        <f t="shared" ca="1" si="28"/>
        <v>ПРЭМ-40</v>
      </c>
      <c r="R21" s="93">
        <f t="shared" ca="1" si="29"/>
        <v>40</v>
      </c>
      <c r="S21" s="93" t="str">
        <f t="shared" ca="1" si="30"/>
        <v>11,42</v>
      </c>
      <c r="T21" s="93">
        <f t="shared" ca="1" si="45"/>
        <v>2.6208122199459409</v>
      </c>
      <c r="U21" s="289">
        <f t="shared" ca="1" si="46"/>
        <v>261604.17527590736</v>
      </c>
      <c r="V21" s="289">
        <f t="shared" ca="1" si="47"/>
        <v>4.0875226338606262E-2</v>
      </c>
      <c r="W21" s="93">
        <f t="shared" ca="1" si="48"/>
        <v>3.0319510161434582E-2</v>
      </c>
      <c r="X21" s="93">
        <f t="shared" ca="1" si="49"/>
        <v>2.3318371452135389E-2</v>
      </c>
      <c r="Y21" s="93">
        <f t="shared" ca="1" si="50"/>
        <v>3.0319510161434582E-2</v>
      </c>
      <c r="Z21" s="290">
        <f t="shared" ca="1" si="31"/>
        <v>0</v>
      </c>
      <c r="AA21" s="290">
        <f t="shared" ca="1" si="32"/>
        <v>0</v>
      </c>
      <c r="AB21" s="93">
        <f t="shared" ca="1" si="33"/>
        <v>8.6631299114318036E-2</v>
      </c>
      <c r="AC21" s="291">
        <f t="shared" ca="1" si="34"/>
        <v>0</v>
      </c>
      <c r="AD21" s="93">
        <f t="shared" ca="1" si="35"/>
        <v>0</v>
      </c>
      <c r="AE21" s="93">
        <f t="shared" ca="1" si="36"/>
        <v>8.6631299114318036E-2</v>
      </c>
      <c r="AF21" s="93">
        <f t="shared" ca="1" si="37"/>
        <v>8.6631299114318036E-2</v>
      </c>
      <c r="AG21" s="292">
        <f t="shared" ca="1" si="38"/>
        <v>0.3</v>
      </c>
      <c r="AH21" s="292">
        <f t="shared" ca="1" si="39"/>
        <v>0.18</v>
      </c>
      <c r="AI21" s="292">
        <f t="shared" ca="1" si="40"/>
        <v>0.1</v>
      </c>
      <c r="AJ21" s="292">
        <f t="shared" ca="1" si="41"/>
        <v>45</v>
      </c>
      <c r="AK21" s="293" t="b">
        <f t="shared" ca="1" si="42"/>
        <v>1</v>
      </c>
      <c r="AL21" s="293" t="b">
        <f t="shared" ca="1" si="43"/>
        <v>1</v>
      </c>
      <c r="AM21" s="293" t="b">
        <f t="shared" ca="1" si="44"/>
        <v>1</v>
      </c>
      <c r="AN21" s="294" t="str">
        <f t="shared" ca="1" si="51"/>
        <v>D</v>
      </c>
      <c r="AO21" s="294" t="b">
        <f t="shared" ca="1" si="52"/>
        <v>1</v>
      </c>
      <c r="AP21" s="294" t="b">
        <f t="shared" ca="1" si="53"/>
        <v>1</v>
      </c>
      <c r="AQ21" s="311"/>
      <c r="AR21" s="312"/>
      <c r="AS21" s="41"/>
      <c r="AT21" s="259"/>
    </row>
    <row r="22" spans="2:46" ht="18" customHeight="1" x14ac:dyDescent="0.3">
      <c r="L22" s="305" t="s">
        <v>73</v>
      </c>
      <c r="M22" s="315">
        <f>E62</f>
        <v>4.0072941759157111E-7</v>
      </c>
      <c r="N22" s="88"/>
      <c r="O22" s="88">
        <v>6</v>
      </c>
      <c r="P22" s="93" t="str">
        <f t="shared" ca="1" si="27"/>
        <v>50-50</v>
      </c>
      <c r="Q22" s="93" t="str">
        <f t="shared" ca="1" si="28"/>
        <v>ПРЭМ-50</v>
      </c>
      <c r="R22" s="93">
        <f t="shared" ca="1" si="29"/>
        <v>50</v>
      </c>
      <c r="S22" s="93">
        <f t="shared" ca="1" si="30"/>
        <v>0</v>
      </c>
      <c r="T22" s="93">
        <f t="shared" ca="1" si="45"/>
        <v>1.6773198207654023</v>
      </c>
      <c r="U22" s="289">
        <f t="shared" ca="1" si="46"/>
        <v>209283.34022072586</v>
      </c>
      <c r="V22" s="289">
        <f t="shared" ca="1" si="47"/>
        <v>3.7850686611455138E-2</v>
      </c>
      <c r="W22" s="93">
        <f t="shared" ca="1" si="48"/>
        <v>0</v>
      </c>
      <c r="X22" s="93">
        <f t="shared" ca="1" si="49"/>
        <v>0</v>
      </c>
      <c r="Y22" s="93">
        <f t="shared" ca="1" si="50"/>
        <v>0</v>
      </c>
      <c r="Z22" s="290">
        <f t="shared" ca="1" si="31"/>
        <v>0</v>
      </c>
      <c r="AA22" s="290">
        <f t="shared" ca="1" si="32"/>
        <v>0</v>
      </c>
      <c r="AB22" s="93">
        <f t="shared" ca="1" si="33"/>
        <v>2.1710334175281395E-2</v>
      </c>
      <c r="AC22" s="291">
        <f t="shared" ca="1" si="34"/>
        <v>0</v>
      </c>
      <c r="AD22" s="93">
        <f t="shared" ca="1" si="35"/>
        <v>0</v>
      </c>
      <c r="AE22" s="93">
        <f t="shared" ca="1" si="36"/>
        <v>2.1710334175281395E-2</v>
      </c>
      <c r="AF22" s="93">
        <f t="shared" ca="1" si="37"/>
        <v>2.1710334175281395E-2</v>
      </c>
      <c r="AG22" s="292">
        <f t="shared" ca="1" si="38"/>
        <v>0.48</v>
      </c>
      <c r="AH22" s="292">
        <f t="shared" ca="1" si="39"/>
        <v>0.28799999999999998</v>
      </c>
      <c r="AI22" s="292">
        <f t="shared" ca="1" si="40"/>
        <v>0.16</v>
      </c>
      <c r="AJ22" s="292">
        <f t="shared" ca="1" si="41"/>
        <v>72</v>
      </c>
      <c r="AK22" s="293" t="b">
        <f t="shared" ca="1" si="42"/>
        <v>1</v>
      </c>
      <c r="AL22" s="293" t="b">
        <f t="shared" ca="1" si="43"/>
        <v>1</v>
      </c>
      <c r="AM22" s="293" t="b">
        <f t="shared" ca="1" si="44"/>
        <v>1</v>
      </c>
      <c r="AN22" s="294" t="str">
        <f t="shared" ca="1" si="51"/>
        <v>D</v>
      </c>
      <c r="AO22" s="294" t="b">
        <f t="shared" ca="1" si="52"/>
        <v>1</v>
      </c>
      <c r="AP22" s="294" t="b">
        <f t="shared" ca="1" si="53"/>
        <v>1</v>
      </c>
      <c r="AQ22" s="91"/>
      <c r="AS22" s="41"/>
      <c r="AT22" s="259"/>
    </row>
    <row r="23" spans="2:46" ht="18" customHeight="1" thickBot="1" x14ac:dyDescent="0.35">
      <c r="L23" s="318" t="s">
        <v>102</v>
      </c>
      <c r="M23" s="319">
        <f>(M20/3.6)/((PI()*M19^2)/4000)</f>
        <v>1.6773198207654023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30"/>
        <v>---</v>
      </c>
      <c r="T23" s="93" t="str">
        <f t="shared" ca="1" si="45"/>
        <v>---</v>
      </c>
      <c r="U23" s="289" t="str">
        <f t="shared" ca="1" si="46"/>
        <v>---</v>
      </c>
      <c r="V23" s="289" t="str">
        <f t="shared" ca="1" si="47"/>
        <v>---</v>
      </c>
      <c r="W23" s="93" t="str">
        <f t="shared" ca="1" si="48"/>
        <v>---</v>
      </c>
      <c r="X23" s="93" t="str">
        <f t="shared" ca="1" si="49"/>
        <v>---</v>
      </c>
      <c r="Y23" s="93" t="str">
        <f t="shared" ca="1" si="50"/>
        <v>---</v>
      </c>
      <c r="Z23" s="290" t="str">
        <f t="shared" ca="1" si="31"/>
        <v>---</v>
      </c>
      <c r="AA23" s="290" t="str">
        <f t="shared" ca="1" si="32"/>
        <v>---</v>
      </c>
      <c r="AB23" s="93" t="str">
        <f t="shared" ca="1" si="33"/>
        <v>--</v>
      </c>
      <c r="AC23" s="291" t="str">
        <f t="shared" ca="1" si="34"/>
        <v>--</v>
      </c>
      <c r="AD23" s="93" t="str">
        <f t="shared" ca="1" si="35"/>
        <v>--</v>
      </c>
      <c r="AE23" s="93" t="str">
        <f t="shared" ca="1" si="36"/>
        <v>---</v>
      </c>
      <c r="AF23" s="93" t="str">
        <f t="shared" ca="1" si="37"/>
        <v>---</v>
      </c>
      <c r="AG23" s="292" t="str">
        <f t="shared" ca="1" si="38"/>
        <v>---</v>
      </c>
      <c r="AH23" s="292" t="str">
        <f t="shared" ca="1" si="39"/>
        <v>---</v>
      </c>
      <c r="AI23" s="292" t="str">
        <f t="shared" ca="1" si="40"/>
        <v>---</v>
      </c>
      <c r="AJ23" s="292" t="str">
        <f t="shared" ca="1" si="41"/>
        <v>---</v>
      </c>
      <c r="AK23" s="293" t="str">
        <f t="shared" ca="1" si="42"/>
        <v>---</v>
      </c>
      <c r="AL23" s="293" t="str">
        <f t="shared" ca="1" si="43"/>
        <v>---</v>
      </c>
      <c r="AM23" s="293" t="str">
        <f t="shared" ca="1" si="44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259"/>
    </row>
    <row r="24" spans="2:46" ht="18" customHeight="1" x14ac:dyDescent="0.3">
      <c r="O24" s="88">
        <v>8</v>
      </c>
      <c r="P24" s="93" t="str">
        <f t="shared" ca="1" si="27"/>
        <v>---</v>
      </c>
      <c r="Q24" s="93" t="str">
        <f t="shared" ca="1" si="28"/>
        <v>---</v>
      </c>
      <c r="R24" s="93" t="str">
        <f t="shared" ca="1" si="29"/>
        <v>---</v>
      </c>
      <c r="S24" s="93" t="str">
        <f t="shared" ca="1" si="30"/>
        <v>---</v>
      </c>
      <c r="T24" s="93" t="str">
        <f t="shared" ca="1" si="45"/>
        <v>---</v>
      </c>
      <c r="U24" s="289" t="str">
        <f t="shared" ca="1" si="46"/>
        <v>---</v>
      </c>
      <c r="V24" s="289" t="str">
        <f t="shared" ca="1" si="47"/>
        <v>---</v>
      </c>
      <c r="W24" s="93" t="str">
        <f t="shared" ca="1" si="48"/>
        <v>---</v>
      </c>
      <c r="X24" s="93" t="str">
        <f t="shared" ca="1" si="49"/>
        <v>---</v>
      </c>
      <c r="Y24" s="93" t="str">
        <f t="shared" ca="1" si="50"/>
        <v>---</v>
      </c>
      <c r="Z24" s="290" t="str">
        <f t="shared" ca="1" si="31"/>
        <v>---</v>
      </c>
      <c r="AA24" s="290" t="str">
        <f t="shared" ca="1" si="32"/>
        <v>---</v>
      </c>
      <c r="AB24" s="93" t="str">
        <f t="shared" ca="1" si="33"/>
        <v>--</v>
      </c>
      <c r="AC24" s="291" t="str">
        <f t="shared" ca="1" si="34"/>
        <v>--</v>
      </c>
      <c r="AD24" s="93" t="str">
        <f t="shared" ca="1" si="35"/>
        <v>--</v>
      </c>
      <c r="AE24" s="93" t="str">
        <f t="shared" ca="1" si="36"/>
        <v>---</v>
      </c>
      <c r="AF24" s="93" t="str">
        <f t="shared" ca="1" si="37"/>
        <v>---</v>
      </c>
      <c r="AG24" s="292" t="str">
        <f t="shared" ca="1" si="38"/>
        <v>---</v>
      </c>
      <c r="AH24" s="292" t="str">
        <f t="shared" ca="1" si="39"/>
        <v>---</v>
      </c>
      <c r="AI24" s="292" t="str">
        <f t="shared" ca="1" si="40"/>
        <v>---</v>
      </c>
      <c r="AJ24" s="292" t="str">
        <f t="shared" ca="1" si="41"/>
        <v>---</v>
      </c>
      <c r="AK24" s="293" t="str">
        <f t="shared" ca="1" si="42"/>
        <v>---</v>
      </c>
      <c r="AL24" s="293" t="str">
        <f t="shared" ca="1" si="43"/>
        <v>---</v>
      </c>
      <c r="AM24" s="293" t="str">
        <f t="shared" ca="1" si="44"/>
        <v>---</v>
      </c>
      <c r="AN24" s="294" t="str">
        <f t="shared" ca="1" si="51"/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259"/>
    </row>
    <row r="25" spans="2:46" ht="18" customHeight="1" x14ac:dyDescent="0.3">
      <c r="O25" s="88">
        <v>9</v>
      </c>
      <c r="P25" s="93" t="str">
        <f t="shared" ca="1" si="27"/>
        <v>---</v>
      </c>
      <c r="Q25" s="93" t="str">
        <f t="shared" ca="1" si="28"/>
        <v>---</v>
      </c>
      <c r="R25" s="93" t="str">
        <f t="shared" ca="1" si="29"/>
        <v>---</v>
      </c>
      <c r="S25" s="93" t="str">
        <f t="shared" ca="1" si="30"/>
        <v>---</v>
      </c>
      <c r="T25" s="93" t="str">
        <f t="shared" ca="1" si="45"/>
        <v>---</v>
      </c>
      <c r="U25" s="289" t="str">
        <f t="shared" ca="1" si="46"/>
        <v>---</v>
      </c>
      <c r="V25" s="289" t="str">
        <f ca="1">IF(O25&lt;=$N$4,(1/(1.14+2*LOG((R25/$M$4),10))^2),"---")</f>
        <v>---</v>
      </c>
      <c r="W25" s="93" t="str">
        <f t="shared" ca="1" si="48"/>
        <v>---</v>
      </c>
      <c r="X25" s="93" t="str">
        <f t="shared" ca="1" si="49"/>
        <v>---</v>
      </c>
      <c r="Y25" s="93" t="str">
        <f t="shared" ca="1" si="50"/>
        <v>---</v>
      </c>
      <c r="Z25" s="290" t="str">
        <f t="shared" ca="1" si="31"/>
        <v>---</v>
      </c>
      <c r="AA25" s="290" t="str">
        <f t="shared" ca="1" si="32"/>
        <v>---</v>
      </c>
      <c r="AB25" s="93" t="str">
        <f t="shared" ca="1" si="33"/>
        <v>--</v>
      </c>
      <c r="AC25" s="291" t="str">
        <f t="shared" ca="1" si="34"/>
        <v>--</v>
      </c>
      <c r="AD25" s="93" t="str">
        <f t="shared" ca="1" si="35"/>
        <v>--</v>
      </c>
      <c r="AE25" s="93" t="str">
        <f t="shared" ca="1" si="36"/>
        <v>---</v>
      </c>
      <c r="AF25" s="93" t="str">
        <f t="shared" ca="1" si="37"/>
        <v>---</v>
      </c>
      <c r="AG25" s="292" t="str">
        <f t="shared" ca="1" si="38"/>
        <v>---</v>
      </c>
      <c r="AH25" s="292" t="str">
        <f t="shared" ca="1" si="39"/>
        <v>---</v>
      </c>
      <c r="AI25" s="292" t="str">
        <f t="shared" ca="1" si="40"/>
        <v>---</v>
      </c>
      <c r="AJ25" s="292" t="str">
        <f t="shared" ca="1" si="41"/>
        <v>---</v>
      </c>
      <c r="AK25" s="293" t="str">
        <f t="shared" ca="1" si="42"/>
        <v>---</v>
      </c>
      <c r="AL25" s="293" t="str">
        <f t="shared" ca="1" si="43"/>
        <v>---</v>
      </c>
      <c r="AM25" s="293" t="str">
        <f t="shared" ca="1" si="44"/>
        <v>---</v>
      </c>
      <c r="AN25" s="294" t="str">
        <f t="shared" ca="1" si="51"/>
        <v>---</v>
      </c>
      <c r="AO25" s="294" t="str">
        <f t="shared" ca="1" si="52"/>
        <v>---</v>
      </c>
      <c r="AP25" s="294" t="str">
        <f t="shared" ca="1" si="53"/>
        <v>---</v>
      </c>
      <c r="AT25" s="259"/>
    </row>
    <row r="26" spans="2:46" ht="18" customHeight="1" thickBot="1" x14ac:dyDescent="0.35">
      <c r="O26" s="88">
        <v>10</v>
      </c>
      <c r="P26" s="93" t="str">
        <f ca="1">IF(O26&lt;=$N$17,OFFSET(DyTr_New,$P$15-2+O26,4,1),"---")</f>
        <v>---</v>
      </c>
      <c r="Q26" s="93" t="str">
        <f ca="1">IF(O26&lt;=$N$17,OFFSET(DyTr_New,$P$15-2+O26,2,1),"---")</f>
        <v>---</v>
      </c>
      <c r="R26" s="93" t="str">
        <f ca="1">IF(O26&lt;=$N$17,OFFSET(DyTr_New,$P$15-2+O26,5,1),"---")</f>
        <v>---</v>
      </c>
      <c r="S26" s="93" t="str">
        <f ca="1">IF(O26&lt;=$N$17,OFFSET(DyTr_New,$P$15-2+O26,6,1),"---")</f>
        <v>---</v>
      </c>
      <c r="T26" s="93" t="str">
        <f ca="1">IF(O26&lt;=$N$17,($M$20/3.6)/((PI()*R26^2)/4000),"---")</f>
        <v>---</v>
      </c>
      <c r="U26" s="289" t="str">
        <f ca="1">IF(O26&lt;=$N$17,(T26*R26/$M$22/1000),"---")</f>
        <v>---</v>
      </c>
      <c r="V26" s="289" t="str">
        <f ca="1">IF(O26&lt;=$N$4,(1/(1.14+2*LOG((R26/$M$4),10))^2),"---")</f>
        <v>---</v>
      </c>
      <c r="W26" s="93" t="str">
        <f ca="1">IF(O26&lt;=$N$17,(IF(S26=0,0,(V26/(8*SIN(RADIANS(S26/2))))*(1-(R26/$M$19)^4))),"---")</f>
        <v>---</v>
      </c>
      <c r="X26" s="93" t="str">
        <f ca="1">IF(O26&lt;=$N$17,(3.2*TAN(RADIANS(S26/2))^1.25*(1-(R26/$M$19)^2)^2),"---")</f>
        <v>---</v>
      </c>
      <c r="Y26" s="93" t="str">
        <f ca="1">IF(O26&lt;=$N$17,(IF(S26=0,0,V26/(8*SIN(RADIANS(S26/2)))*(1-(R26/$M$19)^4))),"---")</f>
        <v>---</v>
      </c>
      <c r="Z26" s="290" t="str">
        <f ca="1">IF(O26&lt;=$N$17,VLOOKUP(Q26&amp;"-Сэндвич",TypePFlow,3,FALSE),"---")</f>
        <v>---</v>
      </c>
      <c r="AA26" s="290" t="str">
        <f ca="1">IF(O26&lt;=$N$17,VLOOKUP(Q26&amp;"-Фланец",TypePFlow,3,FALSE),"---")</f>
        <v>---</v>
      </c>
      <c r="AB26" s="93" t="str">
        <f ca="1">IF(O26&lt;=$N$17,(V26*4+W26+X26+Y26)*T26^2/(2*9.81),"--")</f>
        <v>--</v>
      </c>
      <c r="AC26" s="291" t="str">
        <f ca="1">IF(O26&lt;=$N$17,(Z26*$M$20^2),"--")</f>
        <v>--</v>
      </c>
      <c r="AD26" s="93" t="str">
        <f ca="1">IF(O26&lt;=$N$17,(AA26*$M$20^2),"--")</f>
        <v>--</v>
      </c>
      <c r="AE26" s="93" t="str">
        <f ca="1">IF(O26&lt;=$N$17,(AB26+AC26),"---")</f>
        <v>---</v>
      </c>
      <c r="AF26" s="93" t="str">
        <f ca="1">IF(O26&lt;=$N$17,(AB26+AD26),"---")</f>
        <v>---</v>
      </c>
      <c r="AG26" s="292" t="str">
        <f ca="1">IF(O26&lt;=$N$17,VLOOKUP(Q26&amp;"-D",ParamPiterflow,2,FALSE),"---")</f>
        <v>---</v>
      </c>
      <c r="AH26" s="292" t="str">
        <f ca="1">IF(O26&lt;=$N$17,VLOOKUP(Q26&amp;"-C1",ParamPiterflow,2,FALSE),"---")</f>
        <v>---</v>
      </c>
      <c r="AI26" s="292" t="str">
        <f ca="1">IF(O26&lt;=$N$17,VLOOKUP(Q26&amp;"-B1",ParamPiterflow,2,FALSE),"---")</f>
        <v>---</v>
      </c>
      <c r="AJ26" s="292" t="str">
        <f ca="1">IF(O26&lt;=$N$17,VLOOKUP(Q26&amp;"-D",ParamPiterflow,4,FALSE),"---")</f>
        <v>---</v>
      </c>
      <c r="AK26" s="293" t="str">
        <f ca="1">IF($O26&lt;=$N$17,AND(AG26&lt;$M$21,$AJ26&gt;$M$20),"---")</f>
        <v>---</v>
      </c>
      <c r="AL26" s="293" t="str">
        <f ca="1">IF($O26&lt;=$N$17,AND(AH26&lt;$M$21,$AJ26&gt;$M$20),"---")</f>
        <v>---</v>
      </c>
      <c r="AM26" s="293" t="str">
        <f ca="1">IF($O26&lt;=$N$17,AND(AI26&lt;$M$21,$AJ26&gt;$M$20),"---")</f>
        <v>---</v>
      </c>
      <c r="AN26" s="294" t="str">
        <f ca="1">IF($O26&lt;=$N$17,IF(AK26,"D",IF(AL26,"C1",IF(AM26,"B1","НЕТ"))),"---")</f>
        <v>---</v>
      </c>
      <c r="AO26" s="294" t="str">
        <f t="shared" ca="1" si="52"/>
        <v>---</v>
      </c>
      <c r="AP26" s="294" t="str">
        <f t="shared" ca="1" si="53"/>
        <v>---</v>
      </c>
      <c r="AT26" s="259"/>
    </row>
    <row r="27" spans="2:46" ht="25" customHeight="1" thickBot="1" x14ac:dyDescent="0.35">
      <c r="B27" s="800" t="s">
        <v>447</v>
      </c>
      <c r="C27" s="801"/>
      <c r="D27" s="801"/>
      <c r="E27" s="833"/>
      <c r="F27" s="831" t="s">
        <v>449</v>
      </c>
      <c r="G27" s="845"/>
      <c r="H27" s="846"/>
      <c r="O27" s="750"/>
      <c r="P27" s="751"/>
      <c r="Q27" s="751"/>
      <c r="R27" s="751"/>
      <c r="S27" s="751"/>
      <c r="T27" s="751"/>
      <c r="U27" s="752"/>
      <c r="V27" s="752"/>
      <c r="W27" s="751"/>
      <c r="X27" s="751"/>
      <c r="Y27" s="751"/>
      <c r="Z27" s="753"/>
      <c r="AA27" s="753"/>
      <c r="AB27" s="751"/>
      <c r="AC27" s="754"/>
      <c r="AD27" s="751"/>
      <c r="AE27" s="751"/>
      <c r="AF27" s="751"/>
      <c r="AG27" s="755"/>
      <c r="AH27" s="755"/>
      <c r="AI27" s="755"/>
      <c r="AJ27" s="755"/>
      <c r="AK27" s="757"/>
      <c r="AL27" s="757"/>
      <c r="AM27" s="757"/>
      <c r="AN27" s="756"/>
      <c r="AO27" s="756"/>
      <c r="AP27" s="756"/>
      <c r="AT27" s="259"/>
    </row>
    <row r="28" spans="2:46" ht="18" customHeight="1" thickBot="1" x14ac:dyDescent="0.35">
      <c r="AT28" s="91"/>
    </row>
    <row r="29" spans="2:46" ht="25" customHeight="1" thickBot="1" x14ac:dyDescent="0.45">
      <c r="B29" s="800" t="s">
        <v>17</v>
      </c>
      <c r="C29" s="801"/>
      <c r="D29" s="801"/>
      <c r="E29" s="122"/>
      <c r="F29" s="122"/>
      <c r="G29" s="122"/>
      <c r="H29" s="121"/>
      <c r="Z29" s="322"/>
      <c r="AA29" s="322"/>
      <c r="AN29" s="41"/>
      <c r="AO29" s="41"/>
      <c r="AP29" s="39"/>
      <c r="AQ29" s="39"/>
      <c r="AR29" s="39"/>
      <c r="AS29" s="39"/>
      <c r="AT29" s="104"/>
    </row>
    <row r="30" spans="2:46" ht="18" customHeight="1" thickBot="1" x14ac:dyDescent="0.45">
      <c r="D30" s="811" t="s">
        <v>43</v>
      </c>
      <c r="E30" s="812"/>
      <c r="F30" s="324"/>
      <c r="G30" s="848" t="s">
        <v>42</v>
      </c>
      <c r="H30" s="849"/>
      <c r="I30" s="8"/>
      <c r="N30" s="262"/>
      <c r="O30" s="263" t="s">
        <v>406</v>
      </c>
      <c r="P30" s="264">
        <f>MATCH(M34,DyTr_New,0)</f>
        <v>11</v>
      </c>
      <c r="Q30" s="265">
        <f ca="1">MATCH(TRUE,AO32:AO41,0)</f>
        <v>1</v>
      </c>
      <c r="R30" s="266" t="s">
        <v>103</v>
      </c>
      <c r="S30" s="267"/>
      <c r="U30" s="268">
        <f ca="1">MATCH(TRUE,AO32:AO41,0)</f>
        <v>1</v>
      </c>
      <c r="V30" s="269" t="s">
        <v>407</v>
      </c>
      <c r="W30" s="270"/>
      <c r="X30" s="270"/>
      <c r="Y30" s="270"/>
      <c r="Z30" s="838" t="s">
        <v>206</v>
      </c>
      <c r="AA30" s="838"/>
      <c r="AB30" s="258"/>
      <c r="AG30" s="826" t="s">
        <v>75</v>
      </c>
      <c r="AH30" s="826"/>
      <c r="AI30" s="826"/>
      <c r="AJ30" s="271" t="s">
        <v>66</v>
      </c>
      <c r="AK30" s="810" t="s">
        <v>65</v>
      </c>
      <c r="AL30" s="810"/>
      <c r="AM30" s="810"/>
      <c r="AN30" s="272"/>
      <c r="AO30" s="273">
        <f ca="1">MATCH(TRUE,AO32:AO41,0)</f>
        <v>1</v>
      </c>
      <c r="AP30" s="273">
        <f ca="1">MATCH(TRUE,AP32:AP41,0)</f>
        <v>1</v>
      </c>
      <c r="AQ30" s="802" t="s">
        <v>69</v>
      </c>
      <c r="AR30" s="803"/>
      <c r="AS30" s="259"/>
      <c r="AT30" s="259"/>
    </row>
    <row r="31" spans="2:46" ht="18" customHeight="1" thickBot="1" x14ac:dyDescent="0.45">
      <c r="B31" s="821" t="s">
        <v>68</v>
      </c>
      <c r="C31" s="822"/>
      <c r="D31" s="804">
        <v>0.28999999999999998</v>
      </c>
      <c r="E31" s="805"/>
      <c r="F31" s="748"/>
      <c r="G31" s="841">
        <v>5.4600000000000003E-2</v>
      </c>
      <c r="H31" s="847"/>
      <c r="I31" s="56"/>
      <c r="L31" s="277" t="s">
        <v>77</v>
      </c>
      <c r="M31" s="278" t="s">
        <v>90</v>
      </c>
      <c r="N31" s="279" t="s">
        <v>97</v>
      </c>
      <c r="O31" s="88"/>
      <c r="P31" s="280" t="s">
        <v>93</v>
      </c>
      <c r="Q31" s="280" t="s">
        <v>92</v>
      </c>
      <c r="R31" s="280" t="s">
        <v>408</v>
      </c>
      <c r="S31" s="66" t="s">
        <v>61</v>
      </c>
      <c r="T31" s="280" t="s">
        <v>18</v>
      </c>
      <c r="U31" s="63" t="s">
        <v>20</v>
      </c>
      <c r="V31" s="62" t="s">
        <v>21</v>
      </c>
      <c r="W31" s="63" t="s">
        <v>62</v>
      </c>
      <c r="X31" s="64" t="s">
        <v>63</v>
      </c>
      <c r="Y31" s="64" t="s">
        <v>64</v>
      </c>
      <c r="Z31" s="117" t="s">
        <v>204</v>
      </c>
      <c r="AA31" s="117" t="s">
        <v>205</v>
      </c>
      <c r="AB31" s="63" t="s">
        <v>227</v>
      </c>
      <c r="AC31" s="63" t="s">
        <v>225</v>
      </c>
      <c r="AD31" s="63" t="s">
        <v>226</v>
      </c>
      <c r="AE31" s="63" t="s">
        <v>228</v>
      </c>
      <c r="AF31" s="63" t="s">
        <v>229</v>
      </c>
      <c r="AG31" s="281" t="s">
        <v>351</v>
      </c>
      <c r="AH31" s="281" t="s">
        <v>352</v>
      </c>
      <c r="AI31" s="281" t="s">
        <v>353</v>
      </c>
      <c r="AJ31" s="281"/>
      <c r="AK31" s="281" t="s">
        <v>351</v>
      </c>
      <c r="AL31" s="281" t="s">
        <v>352</v>
      </c>
      <c r="AM31" s="281" t="s">
        <v>353</v>
      </c>
      <c r="AN31" s="281" t="s">
        <v>67</v>
      </c>
      <c r="AO31" s="281" t="s">
        <v>230</v>
      </c>
      <c r="AP31" s="281" t="s">
        <v>231</v>
      </c>
      <c r="AQ31" s="282" t="s">
        <v>409</v>
      </c>
      <c r="AR31" s="283" t="str">
        <f ca="1">IF(ISERROR(AO30),IF(ISERROR(AP30),"НЕТ",OFFSET(Q32,AP30-1,0,1)&amp;"-"&amp;OFFSET(AN32,AP30-1,0,1)&amp;"-Фланец"),OFFSET(Q32,AO30-1,0,1)&amp;"-"&amp;OFFSET(AN32,AO30-1,0,1)&amp;"-Cэндвич")</f>
        <v>ПРЭМ-15-D-Cэндвич</v>
      </c>
      <c r="AT31" s="284" t="str">
        <f ca="1">IF(ISERROR(AO30),IF(ISERROR(AP30),"НЕТ",OFFSET(Q32,AP30-1,0,1)&amp;"-"&amp;OFFSET(AN32,AP30-1,0,1)),OFFSET(Q32,AO30-1,0,1)&amp;"-"&amp;OFFSET(AN32,AO30-1,0,1))</f>
        <v>ПРЭМ-15-D</v>
      </c>
    </row>
    <row r="32" spans="2:46" ht="18" customHeight="1" thickBot="1" x14ac:dyDescent="0.45">
      <c r="B32" s="821" t="s">
        <v>31</v>
      </c>
      <c r="C32" s="822"/>
      <c r="D32" s="804" t="s">
        <v>34</v>
      </c>
      <c r="E32" s="805"/>
      <c r="F32" s="327"/>
      <c r="G32" s="804" t="s">
        <v>55</v>
      </c>
      <c r="H32" s="805"/>
      <c r="I32" s="8"/>
      <c r="L32" s="287" t="s">
        <v>74</v>
      </c>
      <c r="M32" s="288">
        <v>0.5</v>
      </c>
      <c r="N32" s="88">
        <f ca="1">OFFSET(DyTr_New,P30-1,1,1)</f>
        <v>5</v>
      </c>
      <c r="O32" s="88">
        <v>1</v>
      </c>
      <c r="P32" s="93" t="str">
        <f t="shared" ref="P32:P41" ca="1" si="54">IF(O32&lt;=$N$32,OFFSET(DyTr_New,$P$30-2+O32,4,1),"---")</f>
        <v>15-40</v>
      </c>
      <c r="Q32" s="93" t="str">
        <f t="shared" ref="Q32:Q41" ca="1" si="55">IF(O32&lt;=$N$32,OFFSET(DyTr_New,$P$30-2+O32,2,1),"---")</f>
        <v>ПРЭМ-15</v>
      </c>
      <c r="R32" s="93">
        <f t="shared" ref="R32:R41" ca="1" si="56">IF(O32&lt;=$N$32,OFFSET(DyTr_New,$P$30-2+O32,5,1),"---")</f>
        <v>15</v>
      </c>
      <c r="S32" s="93" t="str">
        <f t="shared" ref="S32:S41" ca="1" si="57">IF(O32&lt;=$N$32,OFFSET(DyTr_New,$P$30-2+O32,6,1),"---")</f>
        <v>28,08</v>
      </c>
      <c r="T32" s="93">
        <f ca="1">IF(O32&lt;=$N$32,($M$35/3.6)/((PI()*R32^2)/4000),"---")</f>
        <v>1.585430380135334</v>
      </c>
      <c r="U32" s="289">
        <f ca="1">IF(O32&lt;=$N$32,(T32*R32/$M$37/1000),"---")</f>
        <v>51004.542296668413</v>
      </c>
      <c r="V32" s="289">
        <f ca="1">IF(O32&lt;=$N$32,(1/(1.14+2*LOG((R32/$M$32),10))^2),"---")</f>
        <v>5.9655827422120798E-2</v>
      </c>
      <c r="W32" s="93">
        <f ca="1">IF(O32&lt;=$N$32,(IF(S32=0,0,(V32/(8*SIN(RADIANS(S32/2))))*(1-(R32/$M$34)^4))),"---")</f>
        <v>3.0129995641405064E-2</v>
      </c>
      <c r="X32" s="93">
        <f ca="1">IF(O32&lt;=$N$32,(3.2*TAN(RADIANS(S32/2))^1.25*(1-(R32/$M$34)^2)^2),"---")</f>
        <v>0.41791857056771953</v>
      </c>
      <c r="Y32" s="93">
        <f ca="1">IF(O32&lt;=$N$32,(IF(S32=0,0,V32/(8*SIN(RADIANS(S32/2)))*(1-(R32/$M$34)^4))),"---")</f>
        <v>3.0129995641405064E-2</v>
      </c>
      <c r="Z32" s="290">
        <f t="shared" ref="Z32:Z41" ca="1" si="58">IF(O32&lt;=$N$32,VLOOKUP(Q32&amp;"-Сэндвич",TypePFlow,3,FALSE),"---")</f>
        <v>0</v>
      </c>
      <c r="AA32" s="290">
        <f t="shared" ref="AA32:AA41" ca="1" si="59">IF(O32&lt;=$N$32,VLOOKUP(Q32&amp;"-Фланец",TypePFlow,3,FALSE),"---")</f>
        <v>0</v>
      </c>
      <c r="AB32" s="93">
        <f t="shared" ref="AB32:AB41" ca="1" si="60">IF(O32&lt;=$N$32,(V32*4+W32+X32+Y32)*T32^2/(2*9.81),"--")</f>
        <v>9.1832092298488474E-2</v>
      </c>
      <c r="AC32" s="291">
        <f t="shared" ref="AC32:AC41" ca="1" si="61">IF(O32&lt;=$N$32,(Z32*$M$35^2),"--")</f>
        <v>0</v>
      </c>
      <c r="AD32" s="93">
        <f t="shared" ref="AD32:AD41" ca="1" si="62">IF(O32&lt;=$N$32,(AA32*$M$35^2),"--")</f>
        <v>0</v>
      </c>
      <c r="AE32" s="93">
        <f t="shared" ref="AE32:AE41" ca="1" si="63">IF(O32&lt;=$N$32,(AB32+AC32),"---")</f>
        <v>9.1832092298488474E-2</v>
      </c>
      <c r="AF32" s="93">
        <f t="shared" ref="AF32:AF41" ca="1" si="64">IF(O32&lt;=$N$32,(AB32+AD32),"---")</f>
        <v>9.1832092298488474E-2</v>
      </c>
      <c r="AG32" s="292">
        <f t="shared" ref="AG32:AG41" ca="1" si="65">IF(O32&lt;=$N$32,VLOOKUP(Q32&amp;"-D",ParamPiterflow,2,FALSE),"---")</f>
        <v>0.04</v>
      </c>
      <c r="AH32" s="292">
        <f t="shared" ref="AH32:AH41" ca="1" si="66">IF(O32&lt;=$N$32,VLOOKUP(Q32&amp;"-C1",ParamPiterflow,2,FALSE),"---")</f>
        <v>2.4E-2</v>
      </c>
      <c r="AI32" s="292">
        <f t="shared" ref="AI32:AI41" ca="1" si="67">IF(O32&lt;=$N$32,VLOOKUP(Q32&amp;"-B1",ParamPiterflow,2,FALSE),"---")</f>
        <v>1.2999999999999999E-2</v>
      </c>
      <c r="AJ32" s="292">
        <f t="shared" ref="AJ32:AJ41" ca="1" si="68">IF(O32&lt;=$N$32,VLOOKUP(Q32&amp;"-D",ParamPiterflow,4,FALSE),"---")</f>
        <v>6</v>
      </c>
      <c r="AK32" s="293" t="b">
        <f t="shared" ref="AK32:AK41" ca="1" si="69">IF($O32&lt;=$N$32,AND(AG32&lt;$M$36,$AJ32&gt;$M$35),"---")</f>
        <v>1</v>
      </c>
      <c r="AL32" s="293" t="b">
        <f t="shared" ref="AL32:AL41" ca="1" si="70">IF($O32&lt;=$N$32,AND(AH32&lt;$M$36,$AJ32&gt;$M$35),"---")</f>
        <v>1</v>
      </c>
      <c r="AM32" s="293" t="b">
        <f t="shared" ref="AM32:AM41" ca="1" si="71">IF($O32&lt;=$N$32,AND(AI32&lt;$M$36,$AJ32&gt;$M$35),"---")</f>
        <v>1</v>
      </c>
      <c r="AN32" s="294" t="str">
        <f ca="1">IF($O32&lt;=$N$32,IF(AK32,"D",IF(AL32,"C1",IF(AM32,"B1","НЕТ"))),"---")</f>
        <v>D</v>
      </c>
      <c r="AO32" s="294" t="b">
        <f ca="1">IF($O32&lt;=$N$32,AND(AE32&lt;$M$33,NOT(AN32="НЕТ"),IF($F$27="Экономный",T32&lt;=3,IF(AND($F$27="Оптимальный",T32&gt;$G$52),T32&lt;=1.8,IF(AND($F$27="Затратный",T32&gt;$G$52),T32&lt;=1,T32&lt;=3)))),"---")</f>
        <v>1</v>
      </c>
      <c r="AP32" s="294" t="b">
        <f ca="1">IF($O32&lt;=$N$32,AND(AF32&lt;$M$33,NOT(AN32="НЕТ"),IF($F$27="Экономный",T32&lt;=3,IF(AND($F$27="Оптимальный",T32&gt;$G$52),T32&lt;=1.8,IF(AND($F$27="Затратный",T32&gt;$G$52),T32&lt;=1,T32&lt;=3)))),"---")</f>
        <v>1</v>
      </c>
      <c r="AQ32" s="295"/>
      <c r="AR32" s="296"/>
      <c r="AS32" s="259"/>
      <c r="AT32" s="259">
        <f ca="1">IF(ISERROR(AO30),IF(ISERROR(AP30),"НЕТ",AP30),AO30)</f>
        <v>1</v>
      </c>
    </row>
    <row r="33" spans="2:55" ht="18" customHeight="1" x14ac:dyDescent="0.4">
      <c r="B33" s="821" t="s">
        <v>23</v>
      </c>
      <c r="C33" s="822"/>
      <c r="D33" s="94">
        <v>0.5</v>
      </c>
      <c r="E33" s="94">
        <v>0.5</v>
      </c>
      <c r="F33" s="328"/>
      <c r="G33" s="94">
        <v>0.5</v>
      </c>
      <c r="H33" s="94">
        <v>0.5</v>
      </c>
      <c r="I33" s="329"/>
      <c r="L33" s="297" t="s">
        <v>189</v>
      </c>
      <c r="M33" s="298">
        <f>G33</f>
        <v>0.5</v>
      </c>
      <c r="N33" s="88"/>
      <c r="O33" s="88">
        <v>2</v>
      </c>
      <c r="P33" s="93" t="str">
        <f t="shared" ca="1" si="54"/>
        <v>20-40</v>
      </c>
      <c r="Q33" s="93" t="str">
        <f t="shared" ca="1" si="55"/>
        <v>ПРЭМ-20</v>
      </c>
      <c r="R33" s="93">
        <f t="shared" ca="1" si="56"/>
        <v>20</v>
      </c>
      <c r="S33" s="93" t="str">
        <f t="shared" ca="1" si="57"/>
        <v>53,14</v>
      </c>
      <c r="T33" s="93">
        <f t="shared" ref="T33:T41" ca="1" si="72">IF(O33&lt;=$N$32,($M$35/3.6)/((PI()*R33^2)/4000),"---")</f>
        <v>0.89180458882612534</v>
      </c>
      <c r="U33" s="289">
        <f t="shared" ref="U33:U41" ca="1" si="73">IF(O33&lt;=$N$32,(T33*R33/$M$37/1000),"---")</f>
        <v>38253.406722501313</v>
      </c>
      <c r="V33" s="289">
        <f t="shared" ref="V33:V41" ca="1" si="74">IF(O33&lt;=$N$32,(1/(1.14+2*LOG((R33/$M$32),10))^2),"---")</f>
        <v>5.2990299783484442E-2</v>
      </c>
      <c r="W33" s="93">
        <f t="shared" ref="W33:W41" ca="1" si="75">IF(O33&lt;=$N$32,(IF(S33=0,0,(V33/(8*SIN(RADIANS(S33/2))))*(1-(R33/$M$34)^4))),"---")</f>
        <v>1.3883138404978212E-2</v>
      </c>
      <c r="X33" s="93">
        <f t="shared" ref="X33:X41" ca="1" si="76">IF(O33&lt;=$N$32,(3.2*TAN(RADIANS(S33/2))^1.25*(1-(R33/$M$34)^2)^2),"---")</f>
        <v>0.75701106263930373</v>
      </c>
      <c r="Y33" s="93">
        <f t="shared" ref="Y33:Y41" ca="1" si="77">IF(O33&lt;=$N$32,(IF(S33=0,0,V33/(8*SIN(RADIANS(S33/2)))*(1-(R33/$M$34)^4))),"---")</f>
        <v>1.3883138404978212E-2</v>
      </c>
      <c r="Z33" s="290">
        <f t="shared" ca="1" si="58"/>
        <v>0</v>
      </c>
      <c r="AA33" s="290">
        <f t="shared" ca="1" si="59"/>
        <v>0</v>
      </c>
      <c r="AB33" s="93">
        <f t="shared" ca="1" si="60"/>
        <v>4.0403747914355075E-2</v>
      </c>
      <c r="AC33" s="291">
        <f t="shared" ca="1" si="61"/>
        <v>0</v>
      </c>
      <c r="AD33" s="93">
        <f t="shared" ca="1" si="62"/>
        <v>0</v>
      </c>
      <c r="AE33" s="93">
        <f t="shared" ca="1" si="63"/>
        <v>4.0403747914355075E-2</v>
      </c>
      <c r="AF33" s="93">
        <f t="shared" ca="1" si="64"/>
        <v>4.0403747914355075E-2</v>
      </c>
      <c r="AG33" s="292">
        <f t="shared" ca="1" si="65"/>
        <v>0.08</v>
      </c>
      <c r="AH33" s="292">
        <f t="shared" ca="1" si="66"/>
        <v>4.8000000000000001E-2</v>
      </c>
      <c r="AI33" s="292">
        <f t="shared" ca="1" si="67"/>
        <v>2.7E-2</v>
      </c>
      <c r="AJ33" s="292">
        <f t="shared" ca="1" si="68"/>
        <v>12</v>
      </c>
      <c r="AK33" s="293" t="b">
        <f t="shared" ca="1" si="69"/>
        <v>0</v>
      </c>
      <c r="AL33" s="293" t="b">
        <f t="shared" ca="1" si="70"/>
        <v>0</v>
      </c>
      <c r="AM33" s="293" t="b">
        <f t="shared" ca="1" si="71"/>
        <v>1</v>
      </c>
      <c r="AN33" s="294" t="str">
        <f t="shared" ref="AN33:AN41" ca="1" si="78">IF($O33&lt;=$N$32,IF(AK33,"D",IF(AL33,"C1",IF(AM33,"B1","НЕТ"))),"---")</f>
        <v>B1</v>
      </c>
      <c r="AO33" s="294" t="b">
        <f t="shared" ref="AO33:AO41" ca="1" si="79">IF($O33&lt;=$N$32,AND(AE33&lt;$M$33,NOT(AN33="НЕТ"),IF($F$27="Экономный",T33&lt;=3,IF(AND($F$27="Оптимальный",T33&gt;$G$52),T33&lt;=1.8,IF(AND($F$27="Затратный",T33&gt;$G$52),T33&lt;=1,T33&lt;=3)))),"---")</f>
        <v>1</v>
      </c>
      <c r="AP33" s="294" t="b">
        <f t="shared" ref="AP33:AP41" ca="1" si="80">IF($O33&lt;=$N$32,AND(AF33&lt;$M$33,NOT(AN33="НЕТ"),IF($F$27="Экономный",T33&lt;=3,IF(AND($F$27="Оптимальный",T33&gt;$G$52),T33&lt;=1.8,IF(AND($F$27="Затратный",T33&gt;$G$52),T33&lt;=1,T33&lt;=3)))),"---")</f>
        <v>1</v>
      </c>
      <c r="AQ33" s="299" t="s">
        <v>18</v>
      </c>
      <c r="AR33" s="300">
        <f ca="1">OFFSET(T32,IF(ISERROR(AO30),IF(ISERROR(AP30),"НЕТ",AP30),AO30)-1,0,1)</f>
        <v>1.585430380135334</v>
      </c>
      <c r="AS33" s="259"/>
      <c r="AT33" s="259"/>
    </row>
    <row r="34" spans="2:55" ht="18" customHeight="1" x14ac:dyDescent="0.4">
      <c r="B34" s="821" t="s">
        <v>412</v>
      </c>
      <c r="C34" s="822"/>
      <c r="D34" s="15">
        <v>50</v>
      </c>
      <c r="E34" s="15">
        <v>50</v>
      </c>
      <c r="F34" s="381"/>
      <c r="G34" s="15">
        <v>40</v>
      </c>
      <c r="H34" s="15">
        <v>25</v>
      </c>
      <c r="I34" s="8"/>
      <c r="L34" s="302" t="s">
        <v>410</v>
      </c>
      <c r="M34" s="303">
        <f>$G$34</f>
        <v>40</v>
      </c>
      <c r="N34" s="88"/>
      <c r="O34" s="88">
        <v>3</v>
      </c>
      <c r="P34" s="93" t="str">
        <f t="shared" ca="1" si="54"/>
        <v>25-40</v>
      </c>
      <c r="Q34" s="93" t="str">
        <f t="shared" ca="1" si="55"/>
        <v>ПРЭМ-25</v>
      </c>
      <c r="R34" s="93">
        <f t="shared" ca="1" si="56"/>
        <v>25</v>
      </c>
      <c r="S34" s="93" t="str">
        <f t="shared" ca="1" si="57"/>
        <v>41,12</v>
      </c>
      <c r="T34" s="93">
        <f t="shared" ca="1" si="72"/>
        <v>0.57075493684872025</v>
      </c>
      <c r="U34" s="289">
        <f t="shared" ca="1" si="73"/>
        <v>30602.725378001047</v>
      </c>
      <c r="V34" s="289">
        <f t="shared" ca="1" si="74"/>
        <v>4.8560427292756572E-2</v>
      </c>
      <c r="W34" s="93">
        <f t="shared" ca="1" si="75"/>
        <v>1.4646957589676501E-2</v>
      </c>
      <c r="X34" s="93">
        <f t="shared" ca="1" si="76"/>
        <v>0.34879664108793468</v>
      </c>
      <c r="Y34" s="93">
        <f t="shared" ca="1" si="77"/>
        <v>1.4646957589676501E-2</v>
      </c>
      <c r="Z34" s="290">
        <f t="shared" ca="1" si="58"/>
        <v>0</v>
      </c>
      <c r="AA34" s="290">
        <f t="shared" ca="1" si="59"/>
        <v>0</v>
      </c>
      <c r="AB34" s="93">
        <f t="shared" ca="1" si="60"/>
        <v>9.502734169586597E-3</v>
      </c>
      <c r="AC34" s="291">
        <f t="shared" ca="1" si="61"/>
        <v>0</v>
      </c>
      <c r="AD34" s="93">
        <f t="shared" ca="1" si="62"/>
        <v>0</v>
      </c>
      <c r="AE34" s="93">
        <f t="shared" ca="1" si="63"/>
        <v>9.502734169586597E-3</v>
      </c>
      <c r="AF34" s="93">
        <f t="shared" ca="1" si="64"/>
        <v>9.502734169586597E-3</v>
      </c>
      <c r="AG34" s="292">
        <f t="shared" ca="1" si="65"/>
        <v>0.12</v>
      </c>
      <c r="AH34" s="292">
        <f t="shared" ca="1" si="66"/>
        <v>7.1999999999999995E-2</v>
      </c>
      <c r="AI34" s="292">
        <f t="shared" ca="1" si="67"/>
        <v>0.04</v>
      </c>
      <c r="AJ34" s="292">
        <f t="shared" ca="1" si="68"/>
        <v>18</v>
      </c>
      <c r="AK34" s="293" t="b">
        <f t="shared" ca="1" si="69"/>
        <v>0</v>
      </c>
      <c r="AL34" s="293" t="b">
        <f t="shared" ca="1" si="70"/>
        <v>0</v>
      </c>
      <c r="AM34" s="293" t="b">
        <f t="shared" ca="1" si="71"/>
        <v>1</v>
      </c>
      <c r="AN34" s="294" t="str">
        <f t="shared" ca="1" si="78"/>
        <v>B1</v>
      </c>
      <c r="AO34" s="294" t="b">
        <f t="shared" ca="1" si="79"/>
        <v>1</v>
      </c>
      <c r="AP34" s="294" t="b">
        <f t="shared" ca="1" si="80"/>
        <v>1</v>
      </c>
      <c r="AQ34" s="65" t="s">
        <v>22</v>
      </c>
      <c r="AR34" s="300">
        <f ca="1">IF(ISERROR(AO30),IF(ISERROR(AP30),"НЕТ",OFFSET(AF32,AP30-1,0,1)),OFFSET(AE32,AO30-1,0,1))</f>
        <v>9.1832092298488474E-2</v>
      </c>
      <c r="AS34" s="304"/>
      <c r="AT34" s="91">
        <f ca="1">IF(ISERROR(AO30),IF(ISERROR(AP30),"НЕТ",OFFSET(AF32,AP30-1,0,1)),OFFSET(AE32,AO30-1,0,1))</f>
        <v>9.1832092298488474E-2</v>
      </c>
    </row>
    <row r="35" spans="2:55" ht="18" customHeight="1" thickBot="1" x14ac:dyDescent="0.45">
      <c r="B35" s="817" t="s">
        <v>30</v>
      </c>
      <c r="C35" s="818"/>
      <c r="D35" s="16">
        <v>7</v>
      </c>
      <c r="E35" s="16">
        <v>5</v>
      </c>
      <c r="F35" s="381"/>
      <c r="G35" s="16">
        <v>7</v>
      </c>
      <c r="H35" s="16">
        <v>5</v>
      </c>
      <c r="I35" s="329"/>
      <c r="L35" s="305" t="s">
        <v>71</v>
      </c>
      <c r="M35" s="306">
        <f>G49</f>
        <v>1.0086072280897758</v>
      </c>
      <c r="N35" s="88"/>
      <c r="O35" s="88">
        <v>4</v>
      </c>
      <c r="P35" s="93" t="str">
        <f t="shared" ca="1" si="54"/>
        <v>32-40</v>
      </c>
      <c r="Q35" s="93" t="str">
        <f t="shared" ca="1" si="55"/>
        <v>ПРЭМ-32</v>
      </c>
      <c r="R35" s="93">
        <f t="shared" ca="1" si="56"/>
        <v>32</v>
      </c>
      <c r="S35" s="93" t="str">
        <f t="shared" ca="1" si="57"/>
        <v>22,62</v>
      </c>
      <c r="T35" s="93">
        <f t="shared" ca="1" si="72"/>
        <v>0.34836116751020518</v>
      </c>
      <c r="U35" s="289">
        <f t="shared" ca="1" si="73"/>
        <v>23908.379201563319</v>
      </c>
      <c r="V35" s="289">
        <f t="shared" ca="1" si="74"/>
        <v>4.4277322004702871E-2</v>
      </c>
      <c r="W35" s="93">
        <f t="shared" ca="1" si="75"/>
        <v>1.6661796369831432E-2</v>
      </c>
      <c r="X35" s="93">
        <f t="shared" ca="1" si="76"/>
        <v>5.5468420773376749E-2</v>
      </c>
      <c r="Y35" s="93">
        <f t="shared" ca="1" si="77"/>
        <v>1.6661796369831432E-2</v>
      </c>
      <c r="Z35" s="290">
        <f t="shared" ca="1" si="58"/>
        <v>0</v>
      </c>
      <c r="AA35" s="290">
        <f t="shared" ca="1" si="59"/>
        <v>0</v>
      </c>
      <c r="AB35" s="93">
        <f t="shared" ca="1" si="60"/>
        <v>1.6446781958961809E-3</v>
      </c>
      <c r="AC35" s="291">
        <f t="shared" ca="1" si="61"/>
        <v>0</v>
      </c>
      <c r="AD35" s="93">
        <f t="shared" ca="1" si="62"/>
        <v>0</v>
      </c>
      <c r="AE35" s="93">
        <f t="shared" ca="1" si="63"/>
        <v>1.6446781958961809E-3</v>
      </c>
      <c r="AF35" s="93">
        <f t="shared" ca="1" si="64"/>
        <v>1.6446781958961809E-3</v>
      </c>
      <c r="AG35" s="292">
        <f t="shared" ca="1" si="65"/>
        <v>0.2</v>
      </c>
      <c r="AH35" s="292">
        <f t="shared" ca="1" si="66"/>
        <v>0.12</v>
      </c>
      <c r="AI35" s="292">
        <f t="shared" ca="1" si="67"/>
        <v>6.7000000000000004E-2</v>
      </c>
      <c r="AJ35" s="292">
        <f t="shared" ca="1" si="68"/>
        <v>30</v>
      </c>
      <c r="AK35" s="293" t="b">
        <f t="shared" ca="1" si="69"/>
        <v>0</v>
      </c>
      <c r="AL35" s="293" t="b">
        <f t="shared" ca="1" si="70"/>
        <v>0</v>
      </c>
      <c r="AM35" s="293" t="b">
        <f t="shared" ca="1" si="71"/>
        <v>0</v>
      </c>
      <c r="AN35" s="294" t="str">
        <f t="shared" ca="1" si="78"/>
        <v>НЕТ</v>
      </c>
      <c r="AO35" s="294" t="b">
        <f t="shared" ca="1" si="79"/>
        <v>0</v>
      </c>
      <c r="AP35" s="294" t="b">
        <f t="shared" ca="1" si="80"/>
        <v>0</v>
      </c>
      <c r="AQ35" s="307"/>
      <c r="AR35" s="308"/>
      <c r="AS35" s="309"/>
      <c r="AT35" s="310"/>
    </row>
    <row r="36" spans="2:55" ht="18" customHeight="1" thickBot="1" x14ac:dyDescent="0.45">
      <c r="I36" s="329"/>
      <c r="J36" s="69"/>
      <c r="K36" s="69"/>
      <c r="L36" s="305" t="s">
        <v>72</v>
      </c>
      <c r="M36" s="306">
        <f>G50</f>
        <v>4.0344289123591039E-2</v>
      </c>
      <c r="N36" s="88"/>
      <c r="O36" s="88">
        <v>5</v>
      </c>
      <c r="P36" s="93" t="str">
        <f t="shared" ca="1" si="54"/>
        <v>40-40</v>
      </c>
      <c r="Q36" s="93" t="str">
        <f t="shared" ca="1" si="55"/>
        <v>ПРЭМ-40</v>
      </c>
      <c r="R36" s="93">
        <f t="shared" ca="1" si="56"/>
        <v>40</v>
      </c>
      <c r="S36" s="93">
        <f t="shared" ca="1" si="57"/>
        <v>0</v>
      </c>
      <c r="T36" s="93">
        <f t="shared" ca="1" si="72"/>
        <v>0.22295114720653134</v>
      </c>
      <c r="U36" s="289">
        <f t="shared" ca="1" si="73"/>
        <v>19126.703361250657</v>
      </c>
      <c r="V36" s="289">
        <f t="shared" ca="1" si="74"/>
        <v>4.0875226338606262E-2</v>
      </c>
      <c r="W36" s="93">
        <f t="shared" ca="1" si="75"/>
        <v>0</v>
      </c>
      <c r="X36" s="93">
        <f t="shared" ca="1" si="76"/>
        <v>0</v>
      </c>
      <c r="Y36" s="93">
        <f t="shared" ca="1" si="77"/>
        <v>0</v>
      </c>
      <c r="Z36" s="290">
        <f t="shared" ca="1" si="58"/>
        <v>0</v>
      </c>
      <c r="AA36" s="290">
        <f t="shared" ca="1" si="59"/>
        <v>0</v>
      </c>
      <c r="AB36" s="93">
        <f t="shared" ca="1" si="60"/>
        <v>4.1422907738542371E-4</v>
      </c>
      <c r="AC36" s="291">
        <f t="shared" ca="1" si="61"/>
        <v>0</v>
      </c>
      <c r="AD36" s="93">
        <f t="shared" ca="1" si="62"/>
        <v>0</v>
      </c>
      <c r="AE36" s="93">
        <f t="shared" ca="1" si="63"/>
        <v>4.1422907738542371E-4</v>
      </c>
      <c r="AF36" s="93">
        <f t="shared" ca="1" si="64"/>
        <v>4.1422907738542371E-4</v>
      </c>
      <c r="AG36" s="292">
        <f t="shared" ca="1" si="65"/>
        <v>0.3</v>
      </c>
      <c r="AH36" s="292">
        <f t="shared" ca="1" si="66"/>
        <v>0.18</v>
      </c>
      <c r="AI36" s="292">
        <f t="shared" ca="1" si="67"/>
        <v>0.1</v>
      </c>
      <c r="AJ36" s="292">
        <f t="shared" ca="1" si="68"/>
        <v>45</v>
      </c>
      <c r="AK36" s="293" t="b">
        <f t="shared" ca="1" si="69"/>
        <v>0</v>
      </c>
      <c r="AL36" s="293" t="b">
        <f t="shared" ca="1" si="70"/>
        <v>0</v>
      </c>
      <c r="AM36" s="293" t="b">
        <f t="shared" ca="1" si="71"/>
        <v>0</v>
      </c>
      <c r="AN36" s="294" t="str">
        <f t="shared" ca="1" si="78"/>
        <v>НЕТ</v>
      </c>
      <c r="AO36" s="294" t="b">
        <f t="shared" ca="1" si="79"/>
        <v>0</v>
      </c>
      <c r="AP36" s="294" t="b">
        <f t="shared" ca="1" si="80"/>
        <v>0</v>
      </c>
      <c r="AQ36" s="311"/>
      <c r="AR36" s="312"/>
      <c r="AS36" s="313"/>
      <c r="AT36" s="314"/>
    </row>
    <row r="37" spans="2:55" ht="25" customHeight="1" thickBot="1" x14ac:dyDescent="0.45">
      <c r="B37" s="800" t="s">
        <v>35</v>
      </c>
      <c r="C37" s="801"/>
      <c r="D37" s="801"/>
      <c r="E37" s="122"/>
      <c r="F37" s="122"/>
      <c r="G37" s="122"/>
      <c r="H37" s="121"/>
      <c r="I37" s="382"/>
      <c r="J37" s="69"/>
      <c r="K37" s="69"/>
      <c r="L37" s="305" t="s">
        <v>73</v>
      </c>
      <c r="M37" s="315">
        <f>G62</f>
        <v>4.6626152556580045E-7</v>
      </c>
      <c r="N37" s="88"/>
      <c r="O37" s="88">
        <v>6</v>
      </c>
      <c r="P37" s="93" t="str">
        <f t="shared" ca="1" si="54"/>
        <v>---</v>
      </c>
      <c r="Q37" s="93" t="str">
        <f t="shared" ca="1" si="55"/>
        <v>---</v>
      </c>
      <c r="R37" s="93" t="str">
        <f t="shared" ca="1" si="56"/>
        <v>---</v>
      </c>
      <c r="S37" s="93" t="str">
        <f t="shared" ca="1" si="57"/>
        <v>---</v>
      </c>
      <c r="T37" s="93" t="str">
        <f t="shared" ca="1" si="72"/>
        <v>---</v>
      </c>
      <c r="U37" s="289" t="str">
        <f t="shared" ca="1" si="73"/>
        <v>---</v>
      </c>
      <c r="V37" s="289" t="str">
        <f t="shared" ca="1" si="74"/>
        <v>---</v>
      </c>
      <c r="W37" s="93" t="str">
        <f t="shared" ca="1" si="75"/>
        <v>---</v>
      </c>
      <c r="X37" s="93" t="str">
        <f t="shared" ca="1" si="76"/>
        <v>---</v>
      </c>
      <c r="Y37" s="93" t="str">
        <f t="shared" ca="1" si="77"/>
        <v>---</v>
      </c>
      <c r="Z37" s="290" t="str">
        <f t="shared" ca="1" si="58"/>
        <v>---</v>
      </c>
      <c r="AA37" s="290" t="str">
        <f t="shared" ca="1" si="59"/>
        <v>---</v>
      </c>
      <c r="AB37" s="93" t="str">
        <f t="shared" ca="1" si="60"/>
        <v>--</v>
      </c>
      <c r="AC37" s="291" t="str">
        <f t="shared" ca="1" si="61"/>
        <v>--</v>
      </c>
      <c r="AD37" s="93" t="str">
        <f t="shared" ca="1" si="62"/>
        <v>--</v>
      </c>
      <c r="AE37" s="93" t="str">
        <f t="shared" ca="1" si="63"/>
        <v>---</v>
      </c>
      <c r="AF37" s="93" t="str">
        <f t="shared" ca="1" si="64"/>
        <v>---</v>
      </c>
      <c r="AG37" s="292" t="str">
        <f t="shared" ca="1" si="65"/>
        <v>---</v>
      </c>
      <c r="AH37" s="292" t="str">
        <f t="shared" ca="1" si="66"/>
        <v>---</v>
      </c>
      <c r="AI37" s="292" t="str">
        <f t="shared" ca="1" si="67"/>
        <v>---</v>
      </c>
      <c r="AJ37" s="292" t="str">
        <f t="shared" ca="1" si="68"/>
        <v>---</v>
      </c>
      <c r="AK37" s="293" t="str">
        <f t="shared" ca="1" si="69"/>
        <v>---</v>
      </c>
      <c r="AL37" s="293" t="str">
        <f t="shared" ca="1" si="70"/>
        <v>---</v>
      </c>
      <c r="AM37" s="293" t="str">
        <f t="shared" ca="1" si="71"/>
        <v>---</v>
      </c>
      <c r="AN37" s="294" t="str">
        <f t="shared" ca="1" si="78"/>
        <v>---</v>
      </c>
      <c r="AO37" s="294" t="str">
        <f t="shared" ca="1" si="79"/>
        <v>---</v>
      </c>
      <c r="AP37" s="294" t="str">
        <f t="shared" ca="1" si="80"/>
        <v>---</v>
      </c>
      <c r="AQ37" s="91"/>
      <c r="AS37" s="316"/>
      <c r="AT37" s="317"/>
    </row>
    <row r="38" spans="2:55" ht="45" customHeight="1" thickBot="1" x14ac:dyDescent="0.45">
      <c r="B38" s="823" t="s">
        <v>106</v>
      </c>
      <c r="C38" s="824"/>
      <c r="D38" s="119" t="str">
        <f ca="1">AR3</f>
        <v>ПРЭМ-40-D-Cэндвич</v>
      </c>
      <c r="E38" s="120" t="str">
        <f ca="1">AR16</f>
        <v>ПРЭМ-40-D-Cэндвич</v>
      </c>
      <c r="G38" s="120" t="str">
        <f ca="1">AR31</f>
        <v>ПРЭМ-15-D-Cэндвич</v>
      </c>
      <c r="H38" s="120" t="str">
        <f ca="1">AR44</f>
        <v>ПРЭМ-15-D-Cэндвич</v>
      </c>
      <c r="I38" s="56"/>
      <c r="J38" s="69"/>
      <c r="K38" s="69"/>
      <c r="L38" s="318" t="s">
        <v>102</v>
      </c>
      <c r="M38" s="319">
        <f>(M35/3.6)/((PI()*M34^2)/4000)</f>
        <v>0.22295114720653134</v>
      </c>
      <c r="O38" s="88">
        <v>7</v>
      </c>
      <c r="P38" s="93" t="str">
        <f t="shared" ca="1" si="54"/>
        <v>---</v>
      </c>
      <c r="Q38" s="93" t="str">
        <f t="shared" ca="1" si="55"/>
        <v>---</v>
      </c>
      <c r="R38" s="93" t="str">
        <f t="shared" ca="1" si="56"/>
        <v>---</v>
      </c>
      <c r="S38" s="93" t="str">
        <f t="shared" ca="1" si="57"/>
        <v>---</v>
      </c>
      <c r="T38" s="93" t="str">
        <f t="shared" ca="1" si="72"/>
        <v>---</v>
      </c>
      <c r="U38" s="289" t="str">
        <f t="shared" ca="1" si="73"/>
        <v>---</v>
      </c>
      <c r="V38" s="289" t="str">
        <f t="shared" ca="1" si="74"/>
        <v>---</v>
      </c>
      <c r="W38" s="93" t="str">
        <f t="shared" ca="1" si="75"/>
        <v>---</v>
      </c>
      <c r="X38" s="93" t="str">
        <f t="shared" ca="1" si="76"/>
        <v>---</v>
      </c>
      <c r="Y38" s="93" t="str">
        <f t="shared" ca="1" si="77"/>
        <v>---</v>
      </c>
      <c r="Z38" s="290" t="str">
        <f t="shared" ca="1" si="58"/>
        <v>---</v>
      </c>
      <c r="AA38" s="290" t="str">
        <f t="shared" ca="1" si="59"/>
        <v>---</v>
      </c>
      <c r="AB38" s="93" t="str">
        <f t="shared" ca="1" si="60"/>
        <v>--</v>
      </c>
      <c r="AC38" s="291" t="str">
        <f t="shared" ca="1" si="61"/>
        <v>--</v>
      </c>
      <c r="AD38" s="93" t="str">
        <f t="shared" ca="1" si="62"/>
        <v>--</v>
      </c>
      <c r="AE38" s="93" t="str">
        <f t="shared" ca="1" si="63"/>
        <v>---</v>
      </c>
      <c r="AF38" s="93" t="str">
        <f t="shared" ca="1" si="64"/>
        <v>---</v>
      </c>
      <c r="AG38" s="292" t="str">
        <f t="shared" ca="1" si="65"/>
        <v>---</v>
      </c>
      <c r="AH38" s="292" t="str">
        <f t="shared" ca="1" si="66"/>
        <v>---</v>
      </c>
      <c r="AI38" s="292" t="str">
        <f t="shared" ca="1" si="67"/>
        <v>---</v>
      </c>
      <c r="AJ38" s="292" t="str">
        <f t="shared" ca="1" si="68"/>
        <v>---</v>
      </c>
      <c r="AK38" s="293" t="str">
        <f t="shared" ca="1" si="69"/>
        <v>---</v>
      </c>
      <c r="AL38" s="293" t="str">
        <f t="shared" ca="1" si="70"/>
        <v>---</v>
      </c>
      <c r="AM38" s="293" t="str">
        <f t="shared" ca="1" si="71"/>
        <v>---</v>
      </c>
      <c r="AN38" s="294" t="str">
        <f t="shared" ca="1" si="78"/>
        <v>---</v>
      </c>
      <c r="AO38" s="294" t="str">
        <f t="shared" ca="1" si="79"/>
        <v>---</v>
      </c>
      <c r="AP38" s="294" t="str">
        <f t="shared" ca="1" si="80"/>
        <v>---</v>
      </c>
      <c r="AR38" s="320"/>
      <c r="AT38" s="9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" customHeight="1" x14ac:dyDescent="0.4">
      <c r="B39" s="819" t="s">
        <v>58</v>
      </c>
      <c r="C39" s="820"/>
      <c r="D39" s="27">
        <f ca="1">VLOOKUP(AT3,ParamPiterflow,4,FALSE)</f>
        <v>45</v>
      </c>
      <c r="E39" s="28">
        <f ca="1">VLOOKUP(AT16,ParamPiterflow,4,FALSE)</f>
        <v>45</v>
      </c>
      <c r="F39" s="343"/>
      <c r="G39" s="27">
        <f ca="1">VLOOKUP(AT31,ParamPiterflow,4,FALSE)</f>
        <v>6</v>
      </c>
      <c r="H39" s="28">
        <f ca="1">VLOOKUP(AT44,ParamPiterflow,4,FALSE)</f>
        <v>6</v>
      </c>
      <c r="I39" s="382"/>
      <c r="J39" s="69"/>
      <c r="K39" s="69"/>
      <c r="O39" s="88">
        <v>8</v>
      </c>
      <c r="P39" s="93" t="str">
        <f t="shared" ca="1" si="54"/>
        <v>---</v>
      </c>
      <c r="Q39" s="93" t="str">
        <f t="shared" ca="1" si="55"/>
        <v>---</v>
      </c>
      <c r="R39" s="93" t="str">
        <f t="shared" ca="1" si="56"/>
        <v>---</v>
      </c>
      <c r="S39" s="93" t="str">
        <f t="shared" ca="1" si="57"/>
        <v>---</v>
      </c>
      <c r="T39" s="93" t="str">
        <f t="shared" ca="1" si="72"/>
        <v>---</v>
      </c>
      <c r="U39" s="289" t="str">
        <f t="shared" ca="1" si="73"/>
        <v>---</v>
      </c>
      <c r="V39" s="289" t="str">
        <f t="shared" ca="1" si="74"/>
        <v>---</v>
      </c>
      <c r="W39" s="93" t="str">
        <f t="shared" ca="1" si="75"/>
        <v>---</v>
      </c>
      <c r="X39" s="93" t="str">
        <f t="shared" ca="1" si="76"/>
        <v>---</v>
      </c>
      <c r="Y39" s="93" t="str">
        <f t="shared" ca="1" si="77"/>
        <v>---</v>
      </c>
      <c r="Z39" s="290" t="str">
        <f t="shared" ca="1" si="58"/>
        <v>---</v>
      </c>
      <c r="AA39" s="290" t="str">
        <f t="shared" ca="1" si="59"/>
        <v>---</v>
      </c>
      <c r="AB39" s="93" t="str">
        <f t="shared" ca="1" si="60"/>
        <v>--</v>
      </c>
      <c r="AC39" s="291" t="str">
        <f t="shared" ca="1" si="61"/>
        <v>--</v>
      </c>
      <c r="AD39" s="93" t="str">
        <f t="shared" ca="1" si="62"/>
        <v>--</v>
      </c>
      <c r="AE39" s="93" t="str">
        <f t="shared" ca="1" si="63"/>
        <v>---</v>
      </c>
      <c r="AF39" s="93" t="str">
        <f t="shared" ca="1" si="64"/>
        <v>---</v>
      </c>
      <c r="AG39" s="292" t="str">
        <f t="shared" ca="1" si="65"/>
        <v>---</v>
      </c>
      <c r="AH39" s="292" t="str">
        <f t="shared" ca="1" si="66"/>
        <v>---</v>
      </c>
      <c r="AI39" s="292" t="str">
        <f t="shared" ca="1" si="67"/>
        <v>---</v>
      </c>
      <c r="AJ39" s="292" t="str">
        <f t="shared" ca="1" si="68"/>
        <v>---</v>
      </c>
      <c r="AK39" s="293" t="str">
        <f t="shared" ca="1" si="69"/>
        <v>---</v>
      </c>
      <c r="AL39" s="293" t="str">
        <f t="shared" ca="1" si="70"/>
        <v>---</v>
      </c>
      <c r="AM39" s="293" t="str">
        <f t="shared" ca="1" si="71"/>
        <v>---</v>
      </c>
      <c r="AN39" s="294" t="str">
        <f t="shared" ca="1" si="78"/>
        <v>---</v>
      </c>
      <c r="AO39" s="294" t="str">
        <f t="shared" ca="1" si="79"/>
        <v>---</v>
      </c>
      <c r="AP39" s="294" t="str">
        <f t="shared" ca="1" si="80"/>
        <v>---</v>
      </c>
      <c r="AR39" s="320"/>
      <c r="AT39" s="9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9.5" customHeight="1" x14ac:dyDescent="0.4">
      <c r="B40" s="815" t="s">
        <v>233</v>
      </c>
      <c r="C40" s="816"/>
      <c r="D40" s="29">
        <f ca="1">VLOOKUP(AT3,ParamPiterflow,3,FALSE)</f>
        <v>0.45</v>
      </c>
      <c r="E40" s="30">
        <f ca="1">VLOOKUP(AT16,ParamPiterflow,3,FALSE)</f>
        <v>0.45</v>
      </c>
      <c r="F40" s="343"/>
      <c r="G40" s="29">
        <f ca="1">VLOOKUP(AT31,ParamPiterflow,3,FALSE)</f>
        <v>0.06</v>
      </c>
      <c r="H40" s="30">
        <f ca="1">VLOOKUP(AT44,ParamPiterflow,3,FALSE)</f>
        <v>0.06</v>
      </c>
      <c r="I40" s="333"/>
      <c r="J40" s="69"/>
      <c r="K40" s="69"/>
      <c r="O40" s="88">
        <v>9</v>
      </c>
      <c r="P40" s="93" t="str">
        <f t="shared" ca="1" si="54"/>
        <v>---</v>
      </c>
      <c r="Q40" s="93" t="str">
        <f t="shared" ca="1" si="55"/>
        <v>---</v>
      </c>
      <c r="R40" s="93" t="str">
        <f t="shared" ca="1" si="56"/>
        <v>---</v>
      </c>
      <c r="S40" s="93" t="str">
        <f t="shared" ca="1" si="57"/>
        <v>---</v>
      </c>
      <c r="T40" s="93" t="str">
        <f t="shared" ca="1" si="72"/>
        <v>---</v>
      </c>
      <c r="U40" s="289" t="str">
        <f t="shared" ca="1" si="73"/>
        <v>---</v>
      </c>
      <c r="V40" s="289" t="str">
        <f t="shared" ca="1" si="74"/>
        <v>---</v>
      </c>
      <c r="W40" s="93" t="str">
        <f t="shared" ca="1" si="75"/>
        <v>---</v>
      </c>
      <c r="X40" s="93" t="str">
        <f t="shared" ca="1" si="76"/>
        <v>---</v>
      </c>
      <c r="Y40" s="93" t="str">
        <f t="shared" ca="1" si="77"/>
        <v>---</v>
      </c>
      <c r="Z40" s="290" t="str">
        <f t="shared" ca="1" si="58"/>
        <v>---</v>
      </c>
      <c r="AA40" s="290" t="str">
        <f t="shared" ca="1" si="59"/>
        <v>---</v>
      </c>
      <c r="AB40" s="93" t="str">
        <f t="shared" ca="1" si="60"/>
        <v>--</v>
      </c>
      <c r="AC40" s="291" t="str">
        <f t="shared" ca="1" si="61"/>
        <v>--</v>
      </c>
      <c r="AD40" s="93" t="str">
        <f t="shared" ca="1" si="62"/>
        <v>--</v>
      </c>
      <c r="AE40" s="93" t="str">
        <f t="shared" ca="1" si="63"/>
        <v>---</v>
      </c>
      <c r="AF40" s="93" t="str">
        <f t="shared" ca="1" si="64"/>
        <v>---</v>
      </c>
      <c r="AG40" s="292" t="str">
        <f t="shared" ca="1" si="65"/>
        <v>---</v>
      </c>
      <c r="AH40" s="292" t="str">
        <f t="shared" ca="1" si="66"/>
        <v>---</v>
      </c>
      <c r="AI40" s="292" t="str">
        <f t="shared" ca="1" si="67"/>
        <v>---</v>
      </c>
      <c r="AJ40" s="292" t="str">
        <f t="shared" ca="1" si="68"/>
        <v>---</v>
      </c>
      <c r="AK40" s="293" t="str">
        <f t="shared" ca="1" si="69"/>
        <v>---</v>
      </c>
      <c r="AL40" s="293" t="str">
        <f t="shared" ca="1" si="70"/>
        <v>---</v>
      </c>
      <c r="AM40" s="293" t="str">
        <f t="shared" ca="1" si="71"/>
        <v>---</v>
      </c>
      <c r="AN40" s="294" t="str">
        <f t="shared" ca="1" si="78"/>
        <v>---</v>
      </c>
      <c r="AO40" s="294" t="str">
        <f t="shared" ca="1" si="79"/>
        <v>---</v>
      </c>
      <c r="AP40" s="294" t="str">
        <f t="shared" ca="1" si="80"/>
        <v>---</v>
      </c>
      <c r="AS40" s="41"/>
      <c r="AT40" s="9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" customHeight="1" thickBot="1" x14ac:dyDescent="0.45">
      <c r="B41" s="815" t="s">
        <v>101</v>
      </c>
      <c r="C41" s="816"/>
      <c r="D41" s="31">
        <f ca="1">VLOOKUP(AT3,ParamPiterflow,2,FALSE)</f>
        <v>0.3</v>
      </c>
      <c r="E41" s="32">
        <f ca="1">VLOOKUP(AT16,ParamPiterflow,2,FALSE)</f>
        <v>0.3</v>
      </c>
      <c r="F41" s="343"/>
      <c r="G41" s="31">
        <f ca="1">VLOOKUP(AT31,ParamPiterflow,2,FALSE)</f>
        <v>0.04</v>
      </c>
      <c r="H41" s="32">
        <f ca="1">VLOOKUP(AT44,ParamPiterflow,2,FALSE)</f>
        <v>0.04</v>
      </c>
      <c r="I41" s="333"/>
      <c r="O41" s="88">
        <v>10</v>
      </c>
      <c r="P41" s="93" t="str">
        <f t="shared" ca="1" si="54"/>
        <v>---</v>
      </c>
      <c r="Q41" s="93" t="str">
        <f t="shared" ca="1" si="55"/>
        <v>---</v>
      </c>
      <c r="R41" s="93" t="str">
        <f t="shared" ca="1" si="56"/>
        <v>---</v>
      </c>
      <c r="S41" s="93" t="str">
        <f t="shared" ca="1" si="57"/>
        <v>---</v>
      </c>
      <c r="T41" s="93" t="str">
        <f t="shared" ca="1" si="72"/>
        <v>---</v>
      </c>
      <c r="U41" s="289" t="str">
        <f t="shared" ca="1" si="73"/>
        <v>---</v>
      </c>
      <c r="V41" s="289" t="str">
        <f t="shared" ca="1" si="74"/>
        <v>---</v>
      </c>
      <c r="W41" s="93" t="str">
        <f t="shared" ca="1" si="75"/>
        <v>---</v>
      </c>
      <c r="X41" s="93" t="str">
        <f t="shared" ca="1" si="76"/>
        <v>---</v>
      </c>
      <c r="Y41" s="93" t="str">
        <f t="shared" ca="1" si="77"/>
        <v>---</v>
      </c>
      <c r="Z41" s="290" t="str">
        <f t="shared" ca="1" si="58"/>
        <v>---</v>
      </c>
      <c r="AA41" s="290" t="str">
        <f t="shared" ca="1" si="59"/>
        <v>---</v>
      </c>
      <c r="AB41" s="93" t="str">
        <f t="shared" ca="1" si="60"/>
        <v>--</v>
      </c>
      <c r="AC41" s="291" t="str">
        <f t="shared" ca="1" si="61"/>
        <v>--</v>
      </c>
      <c r="AD41" s="93" t="str">
        <f t="shared" ca="1" si="62"/>
        <v>--</v>
      </c>
      <c r="AE41" s="93" t="str">
        <f t="shared" ca="1" si="63"/>
        <v>---</v>
      </c>
      <c r="AF41" s="93" t="str">
        <f t="shared" ca="1" si="64"/>
        <v>---</v>
      </c>
      <c r="AG41" s="292" t="str">
        <f t="shared" ca="1" si="65"/>
        <v>---</v>
      </c>
      <c r="AH41" s="292" t="str">
        <f t="shared" ca="1" si="66"/>
        <v>---</v>
      </c>
      <c r="AI41" s="292" t="str">
        <f t="shared" ca="1" si="67"/>
        <v>---</v>
      </c>
      <c r="AJ41" s="292" t="str">
        <f t="shared" ca="1" si="68"/>
        <v>---</v>
      </c>
      <c r="AK41" s="293" t="str">
        <f t="shared" ca="1" si="69"/>
        <v>---</v>
      </c>
      <c r="AL41" s="293" t="str">
        <f t="shared" ca="1" si="70"/>
        <v>---</v>
      </c>
      <c r="AM41" s="293" t="str">
        <f t="shared" ca="1" si="71"/>
        <v>---</v>
      </c>
      <c r="AN41" s="294" t="str">
        <f t="shared" ca="1" si="78"/>
        <v>---</v>
      </c>
      <c r="AO41" s="294" t="str">
        <f t="shared" ca="1" si="79"/>
        <v>---</v>
      </c>
      <c r="AP41" s="294" t="str">
        <f t="shared" ca="1" si="80"/>
        <v>---</v>
      </c>
      <c r="AS41" s="41"/>
      <c r="AT41" s="91"/>
      <c r="AU41" s="383"/>
      <c r="AV41" s="41"/>
      <c r="AW41" s="41"/>
      <c r="AX41" s="41"/>
      <c r="AY41" s="41"/>
      <c r="AZ41" s="41"/>
      <c r="BA41" s="41"/>
      <c r="BB41" s="41"/>
      <c r="BC41" s="41"/>
    </row>
    <row r="42" spans="2:55" ht="18" customHeight="1" thickBot="1" x14ac:dyDescent="0.45">
      <c r="I42" s="333"/>
      <c r="L42" s="258"/>
      <c r="M42" s="41"/>
      <c r="N42" s="41"/>
      <c r="O42" s="384"/>
      <c r="P42" s="385"/>
      <c r="Q42" s="385"/>
      <c r="R42" s="385"/>
      <c r="S42" s="385"/>
      <c r="T42" s="385"/>
      <c r="U42" s="385"/>
      <c r="V42" s="386"/>
      <c r="W42" s="386"/>
      <c r="X42" s="385"/>
      <c r="Y42" s="385"/>
      <c r="Z42" s="387"/>
      <c r="AA42" s="387"/>
      <c r="AB42" s="385"/>
      <c r="AC42" s="385"/>
      <c r="AD42" s="388"/>
      <c r="AE42" s="388"/>
      <c r="AF42" s="388"/>
      <c r="AG42" s="388"/>
      <c r="AH42" s="389"/>
      <c r="AI42" s="389"/>
      <c r="AJ42" s="389"/>
      <c r="AK42" s="389"/>
      <c r="AL42" s="389"/>
      <c r="AM42" s="390"/>
      <c r="AN42" s="391"/>
      <c r="AO42" s="391"/>
      <c r="AP42" s="8"/>
      <c r="AQ42" s="392"/>
      <c r="AR42" s="393"/>
      <c r="AS42" s="41"/>
      <c r="AT42" s="393"/>
      <c r="AU42" s="393"/>
      <c r="AV42" s="41"/>
      <c r="AW42" s="41"/>
      <c r="AX42" s="41"/>
      <c r="AY42" s="41"/>
      <c r="AZ42" s="41"/>
      <c r="BA42" s="41"/>
      <c r="BB42" s="41"/>
      <c r="BC42" s="41"/>
    </row>
    <row r="43" spans="2:55" ht="25" customHeight="1" thickBot="1" x14ac:dyDescent="0.45">
      <c r="B43" s="800" t="s">
        <v>107</v>
      </c>
      <c r="C43" s="801"/>
      <c r="D43" s="801"/>
      <c r="E43" s="122"/>
      <c r="F43" s="122"/>
      <c r="G43" s="122"/>
      <c r="H43" s="121"/>
      <c r="I43" s="333"/>
      <c r="N43" s="262"/>
      <c r="O43" s="263" t="s">
        <v>406</v>
      </c>
      <c r="P43" s="264">
        <f>MATCH(M47,DyTr_New,0)</f>
        <v>4</v>
      </c>
      <c r="Q43" s="265">
        <f ca="1">MATCH(TRUE,AO45:AO54,0)</f>
        <v>1</v>
      </c>
      <c r="R43" s="266" t="s">
        <v>103</v>
      </c>
      <c r="S43" s="267"/>
      <c r="U43" s="268">
        <f ca="1">MATCH(TRUE,AO45:AO54,0)</f>
        <v>1</v>
      </c>
      <c r="V43" s="269" t="s">
        <v>407</v>
      </c>
      <c r="W43" s="270"/>
      <c r="X43" s="270"/>
      <c r="Y43" s="270"/>
      <c r="Z43" s="838" t="s">
        <v>206</v>
      </c>
      <c r="AA43" s="838"/>
      <c r="AB43" s="258"/>
      <c r="AG43" s="826" t="s">
        <v>75</v>
      </c>
      <c r="AH43" s="826"/>
      <c r="AI43" s="826"/>
      <c r="AJ43" s="271" t="s">
        <v>66</v>
      </c>
      <c r="AK43" s="810" t="s">
        <v>65</v>
      </c>
      <c r="AL43" s="810"/>
      <c r="AM43" s="810"/>
      <c r="AN43" s="272"/>
      <c r="AO43" s="273">
        <f ca="1">MATCH(TRUE,AO45:AO54,0)</f>
        <v>1</v>
      </c>
      <c r="AP43" s="273">
        <f ca="1">MATCH(TRUE,AP45:AP54,0)</f>
        <v>1</v>
      </c>
      <c r="AQ43" s="802" t="s">
        <v>69</v>
      </c>
      <c r="AR43" s="803"/>
      <c r="AS43" s="259"/>
      <c r="AT43" s="259"/>
      <c r="AU43" s="394"/>
      <c r="AV43" s="41"/>
      <c r="AW43" s="41"/>
      <c r="AX43" s="41"/>
      <c r="AY43" s="41"/>
      <c r="AZ43" s="41"/>
      <c r="BA43" s="41"/>
      <c r="BB43" s="41"/>
      <c r="BC43" s="41"/>
    </row>
    <row r="44" spans="2:55" ht="18" customHeight="1" x14ac:dyDescent="0.4">
      <c r="B44" s="395" t="s">
        <v>28</v>
      </c>
      <c r="C44" s="396"/>
      <c r="D44" s="113">
        <f>1000*$D$31/VLOOKUP(D32,TemperGrafik,3,FALSE)</f>
        <v>11.6</v>
      </c>
      <c r="E44" s="113">
        <f>D44</f>
        <v>11.6</v>
      </c>
      <c r="F44" s="71"/>
      <c r="G44" s="113">
        <f>1000*$G$31/(G47-5)</f>
        <v>0.99272727272727279</v>
      </c>
      <c r="H44" s="115">
        <f>1000*G31/G47</f>
        <v>0.91</v>
      </c>
      <c r="I44" s="333"/>
      <c r="L44" s="277" t="s">
        <v>78</v>
      </c>
      <c r="M44" s="278" t="s">
        <v>90</v>
      </c>
      <c r="N44" s="279" t="s">
        <v>97</v>
      </c>
      <c r="O44" s="88"/>
      <c r="P44" s="280" t="s">
        <v>93</v>
      </c>
      <c r="Q44" s="280" t="s">
        <v>92</v>
      </c>
      <c r="R44" s="280" t="s">
        <v>408</v>
      </c>
      <c r="S44" s="66" t="s">
        <v>61</v>
      </c>
      <c r="T44" s="280" t="s">
        <v>18</v>
      </c>
      <c r="U44" s="63" t="s">
        <v>20</v>
      </c>
      <c r="V44" s="62" t="s">
        <v>21</v>
      </c>
      <c r="W44" s="63" t="s">
        <v>62</v>
      </c>
      <c r="X44" s="64" t="s">
        <v>63</v>
      </c>
      <c r="Y44" s="64" t="s">
        <v>64</v>
      </c>
      <c r="Z44" s="117" t="s">
        <v>204</v>
      </c>
      <c r="AA44" s="117" t="s">
        <v>205</v>
      </c>
      <c r="AB44" s="63" t="s">
        <v>227</v>
      </c>
      <c r="AC44" s="63" t="s">
        <v>225</v>
      </c>
      <c r="AD44" s="63" t="s">
        <v>226</v>
      </c>
      <c r="AE44" s="63" t="s">
        <v>228</v>
      </c>
      <c r="AF44" s="63" t="s">
        <v>229</v>
      </c>
      <c r="AG44" s="281" t="s">
        <v>351</v>
      </c>
      <c r="AH44" s="281" t="s">
        <v>352</v>
      </c>
      <c r="AI44" s="281" t="s">
        <v>353</v>
      </c>
      <c r="AJ44" s="281"/>
      <c r="AK44" s="281" t="s">
        <v>351</v>
      </c>
      <c r="AL44" s="281" t="s">
        <v>352</v>
      </c>
      <c r="AM44" s="281" t="s">
        <v>353</v>
      </c>
      <c r="AN44" s="281" t="s">
        <v>67</v>
      </c>
      <c r="AO44" s="281" t="s">
        <v>230</v>
      </c>
      <c r="AP44" s="281" t="s">
        <v>231</v>
      </c>
      <c r="AQ44" s="282" t="s">
        <v>409</v>
      </c>
      <c r="AR44" s="283" t="str">
        <f ca="1">IF(ISERROR(AO43),IF(ISERROR(AP43),"НЕТ",OFFSET(Q45,AP43-1,0,1)&amp;"-"&amp;OFFSET(AN45,AP43-1,0,1)&amp;"-Фланец"),OFFSET(Q45,AO43-1,0,1)&amp;"-"&amp;OFFSET(AN45,AO43-1,0,1)&amp;"-Cэндвич")</f>
        <v>ПРЭМ-15-D-Cэндвич</v>
      </c>
      <c r="AT44" s="284" t="str">
        <f ca="1">IF(ISERROR(AO43),IF(ISERROR(AP43),"НЕТ",OFFSET(Q45,AP43-1,0,1)&amp;"-"&amp;OFFSET(AN45,AP43-1,0,1)),OFFSET(Q45,AO43-1,0,1)&amp;"-"&amp;OFFSET(AN45,AO43-1,0,1))</f>
        <v>ПРЭМ-15-D</v>
      </c>
      <c r="AU44" s="338"/>
      <c r="AV44" s="41"/>
      <c r="AW44" s="41"/>
      <c r="AX44" s="41"/>
      <c r="AY44" s="41"/>
      <c r="AZ44" s="41"/>
      <c r="BA44" s="41"/>
      <c r="BB44" s="41"/>
      <c r="BC44" s="41"/>
    </row>
    <row r="45" spans="2:55" ht="18" customHeight="1" x14ac:dyDescent="0.4">
      <c r="B45" s="336" t="s">
        <v>27</v>
      </c>
      <c r="C45" s="337"/>
      <c r="D45" s="14">
        <f>D44*0.5</f>
        <v>5.8</v>
      </c>
      <c r="E45" s="14">
        <f>D45</f>
        <v>5.8</v>
      </c>
      <c r="F45" s="71"/>
      <c r="G45" s="14">
        <f>G44*0.04</f>
        <v>3.9709090909090909E-2</v>
      </c>
      <c r="H45" s="96">
        <f>H44*0.04</f>
        <v>3.6400000000000002E-2</v>
      </c>
      <c r="I45" s="333"/>
      <c r="J45" s="69"/>
      <c r="L45" s="287" t="s">
        <v>74</v>
      </c>
      <c r="M45" s="288">
        <v>0.5</v>
      </c>
      <c r="N45" s="88">
        <f ca="1">OFFSET(DyTr_New,P43-1,1,1)</f>
        <v>3</v>
      </c>
      <c r="O45" s="88">
        <v>1</v>
      </c>
      <c r="P45" s="93" t="str">
        <f t="shared" ref="P45:P54" ca="1" si="81">IF(O45&lt;=$N$45,OFFSET(DyTr_New,$P$43-2+O45,4,1),"---")</f>
        <v>15-25</v>
      </c>
      <c r="Q45" s="93" t="str">
        <f t="shared" ref="Q45:Q54" ca="1" si="82">IF(O45&lt;=$N$45,OFFSET(DyTr_New,$P$43-2+O45,2,1),"---")</f>
        <v>ПРЭМ-15</v>
      </c>
      <c r="R45" s="93">
        <f t="shared" ref="R45:R54" ca="1" si="83">IF(O45&lt;=$N$45,OFFSET(DyTr_New,$P$43-2+O45,5,1),"---")</f>
        <v>15</v>
      </c>
      <c r="S45" s="93" t="str">
        <f t="shared" ref="S45:S54" ca="1" si="84">IF(O45&lt;=$N$45,OFFSET(DyTr_New,$P$43-2+O45,6,1),"---")</f>
        <v>28,08</v>
      </c>
      <c r="T45" s="93">
        <f ca="1">IF(O45&lt;=$N$45,($M$48/3.6)/((PI()*R45^2)/4000),"---")</f>
        <v>1.4474859164652571</v>
      </c>
      <c r="U45" s="289">
        <f ca="1">IF(O45&lt;=$N$45,(T45*R45/$M$50/1000),"---")</f>
        <v>39490.749897946094</v>
      </c>
      <c r="V45" s="289">
        <f ca="1">IF(O45&lt;=$N$45,(1/(1.14+2*LOG((R45/$M$45),10))^2),"---")</f>
        <v>5.9655827422120798E-2</v>
      </c>
      <c r="W45" s="93">
        <f ca="1">IF(O45&lt;=$N$45,(IF(S45=0,0,(V45/(8*SIN(RADIANS(S45/2))))*(1-(R45/$M$47)^4))),"---")</f>
        <v>2.6754223425384471E-2</v>
      </c>
      <c r="X45" s="93">
        <f ca="1">IF(O45&lt;=$N$45,(3.2*TAN(RADIANS(S45/2))^1.25*(1-(R45/$M$47)^2)^2),"---")</f>
        <v>0.2317854588041611</v>
      </c>
      <c r="Y45" s="93">
        <f ca="1">IF(O45&lt;=$N$45,(IF(S45=0,0,V45/(8*SIN(RADIANS(S45/2)))*(1-(R45/$M$47)^4))),"---")</f>
        <v>2.6754223425384471E-2</v>
      </c>
      <c r="Z45" s="290">
        <f t="shared" ref="Z45:Z54" ca="1" si="85">IF(O45&lt;=$N$45,VLOOKUP(Q45&amp;"-Сэндвич",TypePFlow,3,FALSE),"---")</f>
        <v>0</v>
      </c>
      <c r="AA45" s="290">
        <f t="shared" ref="AA45:AA54" ca="1" si="86">IF(O45&lt;=$N$45,VLOOKUP(Q45&amp;"-Фланец",TypePFlow,3,FALSE),"---")</f>
        <v>0</v>
      </c>
      <c r="AB45" s="93">
        <f ca="1">IF(O45&lt;=$N$45,(V45*4+W45+X45+Y45)*T45^2/(2*9.81),"--")</f>
        <v>5.594900402495144E-2</v>
      </c>
      <c r="AC45" s="291">
        <f ca="1">IF(O45&lt;=$N$45,(Z45*$M$48^2),"--")</f>
        <v>0</v>
      </c>
      <c r="AD45" s="93">
        <f ca="1">IF(O45&lt;=$N$45,(AA45*$M$48^2),"--")</f>
        <v>0</v>
      </c>
      <c r="AE45" s="93">
        <f ca="1">IF(O45&lt;=$N$45,(AB45+AC45),"---")</f>
        <v>5.594900402495144E-2</v>
      </c>
      <c r="AF45" s="93">
        <f ca="1">IF(O45&lt;=$N$45,(AB45+AD45),"---")</f>
        <v>5.594900402495144E-2</v>
      </c>
      <c r="AG45" s="292">
        <f t="shared" ref="AG45:AG54" ca="1" si="87">IF(O45&lt;=$N$45,VLOOKUP(Q45&amp;"-D",ParamPiterflow,2,FALSE),"---")</f>
        <v>0.04</v>
      </c>
      <c r="AH45" s="292">
        <f t="shared" ref="AH45:AH54" ca="1" si="88">IF(O45&lt;=$N$45,VLOOKUP(Q45&amp;"-C1",ParamPiterflow,2,FALSE),"---")</f>
        <v>2.4E-2</v>
      </c>
      <c r="AI45" s="292">
        <f t="shared" ref="AI45:AI54" ca="1" si="89">IF(O45&lt;=$N$45,VLOOKUP(Q45&amp;"-B1",ParamPiterflow,2,FALSE),"---")</f>
        <v>1.2999999999999999E-2</v>
      </c>
      <c r="AJ45" s="292">
        <f t="shared" ref="AJ45:AJ54" ca="1" si="90">IF(O45&lt;=$N$45,VLOOKUP(Q45&amp;"-D",ParamPiterflow,4,FALSE),"---")</f>
        <v>6</v>
      </c>
      <c r="AK45" s="293" t="b">
        <f ca="1">IF($O45&lt;=$N$45,AND(AG45&lt;$M$36,$AJ45&gt;$M$35),"---")</f>
        <v>1</v>
      </c>
      <c r="AL45" s="293" t="b">
        <f ca="1">IF($O45&lt;=$N$45,AND(AH45&lt;$M$36,$AJ45&gt;$M$35),"---")</f>
        <v>1</v>
      </c>
      <c r="AM45" s="293" t="b">
        <f ca="1">IF($O45&lt;=$N$45,AND(AI45&lt;$M$36,$AJ45&gt;$M$35),"---")</f>
        <v>1</v>
      </c>
      <c r="AN45" s="294" t="str">
        <f ca="1">IF($O45&lt;=$N$45,IF(AK45,"D",IF(AL45,"C1",IF(AM45,"B1","НЕТ"))),"---")</f>
        <v>D</v>
      </c>
      <c r="AO45" s="294" t="b">
        <f ca="1">IF($O45&lt;=$N$45,AND(AE45&lt;$M$46,NOT(AN45="НЕТ"),IF($F$27="Экономный",T45&lt;=3,IF(AND($F$27="Оптимальный",T45&gt;$H$52),T45&lt;=1.8,IF(AND($F$27="Затратный",T45&gt;$H$52),T45&lt;=1,T45&lt;=3)))),"---")</f>
        <v>1</v>
      </c>
      <c r="AP45" s="294" t="b">
        <f ca="1">IF($O45&lt;=$N$45,AND(AF45&lt;$M$46,NOT(AN45="НЕТ"),IF($F$27="Экономный",T45&lt;=3,IF(AND($F$27="Оптимальный",T45&gt;$H$52),T45&lt;=1.8,IF(AND($F$27="Затратный",T45&gt;$H$52),T45&lt;=1,T45&lt;=3)))),"---")</f>
        <v>1</v>
      </c>
      <c r="AQ45" s="295"/>
      <c r="AR45" s="296"/>
      <c r="AS45" s="259"/>
      <c r="AT45" s="259">
        <f ca="1">IF(ISERROR(AO43),IF(ISERROR(AP43),"НЕТ",AP43),AO43)</f>
        <v>1</v>
      </c>
      <c r="AU45" s="9"/>
      <c r="AV45" s="41"/>
      <c r="AW45" s="41"/>
      <c r="AX45" s="41"/>
      <c r="AY45" s="41"/>
      <c r="AZ45" s="41"/>
      <c r="BA45" s="41"/>
      <c r="BB45" s="41"/>
      <c r="BC45" s="41"/>
    </row>
    <row r="46" spans="2:55" ht="18" customHeight="1" x14ac:dyDescent="0.4">
      <c r="D46" s="11"/>
      <c r="E46" s="11"/>
      <c r="H46" s="97"/>
      <c r="I46" s="333"/>
      <c r="K46" s="69"/>
      <c r="L46" s="297" t="s">
        <v>189</v>
      </c>
      <c r="M46" s="298">
        <f>H33</f>
        <v>0.5</v>
      </c>
      <c r="N46" s="88"/>
      <c r="O46" s="88">
        <v>2</v>
      </c>
      <c r="P46" s="93" t="str">
        <f t="shared" ca="1" si="81"/>
        <v>20-25</v>
      </c>
      <c r="Q46" s="93" t="str">
        <f t="shared" ca="1" si="82"/>
        <v>ПРЭМ-20</v>
      </c>
      <c r="R46" s="93">
        <f t="shared" ca="1" si="83"/>
        <v>20</v>
      </c>
      <c r="S46" s="93" t="str">
        <f t="shared" ca="1" si="84"/>
        <v>14,26</v>
      </c>
      <c r="T46" s="93">
        <f t="shared" ref="T46:T54" ca="1" si="91">IF(O46&lt;=$N$45,($M$48/3.6)/((PI()*R46^2)/4000),"---")</f>
        <v>0.81421082801170708</v>
      </c>
      <c r="U46" s="289">
        <f t="shared" ref="U46:U54" ca="1" si="92">IF(O46&lt;=$N$45,(T46*R46/$M$50/1000),"---")</f>
        <v>29618.062423459571</v>
      </c>
      <c r="V46" s="289">
        <f t="shared" ref="V46:V54" ca="1" si="93">IF(O46&lt;=$N$45,(1/(1.14+2*LOG((R46/$M$45),10))^2),"---")</f>
        <v>5.2990299783484442E-2</v>
      </c>
      <c r="W46" s="93">
        <f t="shared" ref="W46:W54" ca="1" si="94">IF(O46&lt;=$N$45,(IF(S46=0,0,(V46/(8*SIN(RADIANS(S46/2))))*(1-(R46/$M$47)^4))),"---")</f>
        <v>3.1507019372479364E-2</v>
      </c>
      <c r="X46" s="93">
        <f t="shared" ref="X46:X54" ca="1" si="95">IF(O46&lt;=$N$45,(3.2*TAN(RADIANS(S46/2))^1.25*(1-(R46/$M$47)^2)^2),"---")</f>
        <v>3.0851481324995062E-2</v>
      </c>
      <c r="Y46" s="93">
        <f t="shared" ref="Y46:Y54" ca="1" si="96">IF(O46&lt;=$N$45,(IF(S46=0,0,V46/(8*SIN(RADIANS(S46/2)))*(1-(R46/$M$47)^4))),"---")</f>
        <v>3.1507019372479364E-2</v>
      </c>
      <c r="Z46" s="290">
        <f t="shared" ca="1" si="85"/>
        <v>0</v>
      </c>
      <c r="AA46" s="290">
        <f t="shared" ca="1" si="86"/>
        <v>0</v>
      </c>
      <c r="AB46" s="93">
        <f t="shared" ref="AB46:AB54" ca="1" si="97">IF(O46&lt;=$N$45,(V46*4+W46+X46+Y46)*T46^2/(2*9.81),"--")</f>
        <v>1.0333564868769622E-2</v>
      </c>
      <c r="AC46" s="291">
        <f t="shared" ref="AC46:AC54" ca="1" si="98">IF(O46&lt;=$N$45,(Z46*$M$48^2),"--")</f>
        <v>0</v>
      </c>
      <c r="AD46" s="93">
        <f t="shared" ref="AD46:AD54" ca="1" si="99">IF(O46&lt;=$N$45,(AA46*$M$48^2),"--")</f>
        <v>0</v>
      </c>
      <c r="AE46" s="93">
        <f t="shared" ref="AE46:AE54" ca="1" si="100">IF(O46&lt;=$N$45,(AB46+AC46),"---")</f>
        <v>1.0333564868769622E-2</v>
      </c>
      <c r="AF46" s="93">
        <f t="shared" ref="AF46:AF54" ca="1" si="101">IF(O46&lt;=$N$45,(AB46+AD46),"---")</f>
        <v>1.0333564868769622E-2</v>
      </c>
      <c r="AG46" s="292">
        <f t="shared" ca="1" si="87"/>
        <v>0.08</v>
      </c>
      <c r="AH46" s="292">
        <f t="shared" ca="1" si="88"/>
        <v>4.8000000000000001E-2</v>
      </c>
      <c r="AI46" s="292">
        <f t="shared" ca="1" si="89"/>
        <v>2.7E-2</v>
      </c>
      <c r="AJ46" s="292">
        <f t="shared" ca="1" si="90"/>
        <v>12</v>
      </c>
      <c r="AK46" s="293" t="b">
        <f t="shared" ref="AK46:AM54" ca="1" si="102">IF($O46&lt;=$N$45,AND(AG46&lt;$M$36,$AJ46&gt;$M$35),"---")</f>
        <v>0</v>
      </c>
      <c r="AL46" s="293" t="b">
        <f t="shared" ca="1" si="102"/>
        <v>0</v>
      </c>
      <c r="AM46" s="293" t="b">
        <f t="shared" ca="1" si="102"/>
        <v>1</v>
      </c>
      <c r="AN46" s="294" t="str">
        <f t="shared" ref="AN46:AN54" ca="1" si="103">IF($O46&lt;=$N$45,IF(AK46,"D",IF(AL46,"C1",IF(AM46,"B1","НЕТ"))),"---")</f>
        <v>B1</v>
      </c>
      <c r="AO46" s="294" t="b">
        <f t="shared" ref="AO46:AO54" ca="1" si="104">IF($O46&lt;=$N$45,AND(AE46&lt;$M$46,NOT(AN46="НЕТ"),IF($F$27="Экономный",T46&lt;=3,IF(AND($F$27="Оптимальный",T46&gt;$H$52),T46&lt;=1.8,IF(AND($F$27="Затратный",T46&gt;$H$52),T46&lt;=1,T46&lt;=3)))),"---")</f>
        <v>1</v>
      </c>
      <c r="AP46" s="294" t="b">
        <f t="shared" ref="AP46:AP54" ca="1" si="105">IF($O46&lt;=$N$45,AND(AF46&lt;$M$46,NOT(AN46="НЕТ"),IF($F$27="Экономный",T46&lt;=3,IF(AND($F$27="Оптимальный",T46&gt;$H$52),T46&lt;=1.8,IF(AND($F$27="Затратный",T46&gt;$H$52),T46&lt;=1,T46&lt;=3)))),"---")</f>
        <v>1</v>
      </c>
      <c r="AQ46" s="299" t="s">
        <v>18</v>
      </c>
      <c r="AR46" s="300">
        <f ca="1">OFFSET(T45,IF(ISERROR(AO43),IF(ISERROR(AP43),"НЕТ",AP43),AO43)-1,0,1)</f>
        <v>1.4474859164652571</v>
      </c>
      <c r="AS46" s="259"/>
      <c r="AT46" s="259"/>
      <c r="AU46" s="10"/>
      <c r="AV46" s="41"/>
      <c r="AW46" s="41"/>
      <c r="AX46" s="41"/>
      <c r="AY46" s="41"/>
      <c r="AZ46" s="41"/>
      <c r="BA46" s="41"/>
      <c r="BB46" s="41"/>
      <c r="BC46" s="41"/>
    </row>
    <row r="47" spans="2:55" ht="18" customHeight="1" x14ac:dyDescent="0.4">
      <c r="B47" s="336" t="s">
        <v>29</v>
      </c>
      <c r="C47" s="337"/>
      <c r="D47" s="75">
        <f>VLOOKUP(D32,TemperGrafik,2,FALSE)</f>
        <v>95</v>
      </c>
      <c r="E47" s="34">
        <f>VLOOKUP(D32,TemperGrafik,4,FALSE)</f>
        <v>70</v>
      </c>
      <c r="F47" s="339"/>
      <c r="G47" s="34">
        <f>VLOOKUP(G32,TemperGrafikGVS,2,FALSE)</f>
        <v>60</v>
      </c>
      <c r="H47" s="34">
        <f>VLOOKUP(G32,TemperGrafikGVS,4,FALSE)</f>
        <v>50</v>
      </c>
      <c r="I47" s="56"/>
      <c r="L47" s="302" t="s">
        <v>410</v>
      </c>
      <c r="M47" s="303">
        <f>$H$34</f>
        <v>25</v>
      </c>
      <c r="N47" s="88"/>
      <c r="O47" s="88">
        <v>3</v>
      </c>
      <c r="P47" s="93" t="str">
        <f t="shared" ca="1" si="81"/>
        <v>25-25</v>
      </c>
      <c r="Q47" s="93" t="str">
        <f t="shared" ca="1" si="82"/>
        <v>ПРЭМ-25</v>
      </c>
      <c r="R47" s="93">
        <f t="shared" ca="1" si="83"/>
        <v>25</v>
      </c>
      <c r="S47" s="93">
        <f t="shared" ca="1" si="84"/>
        <v>0</v>
      </c>
      <c r="T47" s="93">
        <f t="shared" ca="1" si="91"/>
        <v>0.52109492992749251</v>
      </c>
      <c r="U47" s="289">
        <f t="shared" ca="1" si="92"/>
        <v>23694.449938767655</v>
      </c>
      <c r="V47" s="289">
        <f t="shared" ca="1" si="93"/>
        <v>4.8560427292756572E-2</v>
      </c>
      <c r="W47" s="93">
        <f t="shared" ca="1" si="94"/>
        <v>0</v>
      </c>
      <c r="X47" s="93">
        <f t="shared" ca="1" si="95"/>
        <v>0</v>
      </c>
      <c r="Y47" s="93">
        <f t="shared" ca="1" si="96"/>
        <v>0</v>
      </c>
      <c r="Z47" s="290">
        <f t="shared" ca="1" si="85"/>
        <v>0</v>
      </c>
      <c r="AA47" s="290">
        <f t="shared" ca="1" si="86"/>
        <v>0</v>
      </c>
      <c r="AB47" s="93">
        <f t="shared" ca="1" si="97"/>
        <v>2.6882966021235426E-3</v>
      </c>
      <c r="AC47" s="291">
        <f t="shared" ca="1" si="98"/>
        <v>0</v>
      </c>
      <c r="AD47" s="93">
        <f t="shared" ca="1" si="99"/>
        <v>0</v>
      </c>
      <c r="AE47" s="93">
        <f t="shared" ca="1" si="100"/>
        <v>2.6882966021235426E-3</v>
      </c>
      <c r="AF47" s="93">
        <f t="shared" ca="1" si="101"/>
        <v>2.6882966021235426E-3</v>
      </c>
      <c r="AG47" s="292">
        <f t="shared" ca="1" si="87"/>
        <v>0.12</v>
      </c>
      <c r="AH47" s="292">
        <f t="shared" ca="1" si="88"/>
        <v>7.1999999999999995E-2</v>
      </c>
      <c r="AI47" s="292">
        <f t="shared" ca="1" si="89"/>
        <v>0.04</v>
      </c>
      <c r="AJ47" s="292">
        <f t="shared" ca="1" si="90"/>
        <v>18</v>
      </c>
      <c r="AK47" s="293" t="b">
        <f t="shared" ca="1" si="102"/>
        <v>0</v>
      </c>
      <c r="AL47" s="293" t="b">
        <f t="shared" ca="1" si="102"/>
        <v>0</v>
      </c>
      <c r="AM47" s="293" t="b">
        <f t="shared" ca="1" si="102"/>
        <v>1</v>
      </c>
      <c r="AN47" s="294" t="str">
        <f t="shared" ca="1" si="103"/>
        <v>B1</v>
      </c>
      <c r="AO47" s="294" t="b">
        <f t="shared" ca="1" si="104"/>
        <v>1</v>
      </c>
      <c r="AP47" s="294" t="b">
        <f t="shared" ca="1" si="105"/>
        <v>1</v>
      </c>
      <c r="AQ47" s="65" t="s">
        <v>22</v>
      </c>
      <c r="AR47" s="300">
        <f ca="1">IF(ISERROR(AO43),IF(ISERROR(AP43),"НЕТ",OFFSET(AF45,AP43-1,0,1)),OFFSET(AE45,AO43-1,0,1))</f>
        <v>5.594900402495144E-2</v>
      </c>
      <c r="AS47" s="304"/>
      <c r="AT47" s="91">
        <f ca="1">IF(ISERROR(AO43),IF(ISERROR(AP43),"НЕТ",OFFSET(AF45,AP43-1,0,1)),OFFSET(AE45,AO43-1,0,1))</f>
        <v>5.594900402495144E-2</v>
      </c>
      <c r="AU47" s="10"/>
      <c r="AV47" s="41"/>
      <c r="AW47" s="41"/>
      <c r="AX47" s="41"/>
      <c r="AY47" s="41"/>
      <c r="AZ47" s="41"/>
      <c r="BA47" s="41"/>
      <c r="BB47" s="41"/>
      <c r="BC47" s="41"/>
    </row>
    <row r="48" spans="2:55" ht="18" customHeight="1" x14ac:dyDescent="0.4">
      <c r="B48" s="340" t="s">
        <v>57</v>
      </c>
      <c r="C48" s="341"/>
      <c r="D48" s="14">
        <f>($D$47*0.01)^5*(-0.0005625*$D$35-1.3864)+($D$47*0.01)^4*(0.054517*$D$35+7.325)+($D$47*0.01)^3*(-0.27408*$D$35-15.474)+($D$47*0.01)^2*(0.52327*$D$35-5.0668)+$D$47*0.01*(-0.42067*$D$35-38.224)+0.16333*$D$35+1011.185</f>
        <v>962.24035228267724</v>
      </c>
      <c r="E48" s="14">
        <f>($E$47*0.01)^5*(-0.0005625*$E$35-1.3864)+($E$47*0.01)^4*(0.054517*$E$35+7.325)+($E$47*0.01)^3*(-0.27408*$E$35-15.474)+($E$47*0.01)^2*(0.52327*$E$35-5.0668)+$E$47*0.01*(-0.42067*$E$35-38.224)+0.16333*$E$35+1011.185</f>
        <v>978.384850513625</v>
      </c>
      <c r="G48" s="14">
        <f>($G$47*0.01)^5*(-0.0005625*$G$35-1.3864)+($G$47*0.01)^4*(0.054517*$G$35+7.325)+($G$47*0.01)^3*(-0.27408*$G$35-15.474)+($G$47*0.01)^2*(0.52327*$G$35-5.0668)+$G$47*0.01*(-0.42067*$G$35-38.224)+0.16333*$G$35+1011.185</f>
        <v>984.25556061839995</v>
      </c>
      <c r="H48" s="14">
        <f>H74</f>
        <v>988.21660073868554</v>
      </c>
      <c r="I48" s="8"/>
      <c r="L48" s="305" t="s">
        <v>71</v>
      </c>
      <c r="M48" s="306">
        <f>H49</f>
        <v>0.92085075207174305</v>
      </c>
      <c r="N48" s="88"/>
      <c r="O48" s="88">
        <v>4</v>
      </c>
      <c r="P48" s="93" t="str">
        <f t="shared" ca="1" si="81"/>
        <v>---</v>
      </c>
      <c r="Q48" s="93" t="str">
        <f t="shared" ca="1" si="82"/>
        <v>---</v>
      </c>
      <c r="R48" s="93" t="str">
        <f t="shared" ca="1" si="83"/>
        <v>---</v>
      </c>
      <c r="S48" s="93" t="str">
        <f t="shared" ca="1" si="84"/>
        <v>---</v>
      </c>
      <c r="T48" s="93" t="str">
        <f t="shared" ca="1" si="91"/>
        <v>---</v>
      </c>
      <c r="U48" s="289" t="str">
        <f t="shared" ca="1" si="92"/>
        <v>---</v>
      </c>
      <c r="V48" s="289" t="str">
        <f t="shared" ca="1" si="93"/>
        <v>---</v>
      </c>
      <c r="W48" s="93" t="str">
        <f t="shared" ca="1" si="94"/>
        <v>---</v>
      </c>
      <c r="X48" s="93" t="str">
        <f t="shared" ca="1" si="95"/>
        <v>---</v>
      </c>
      <c r="Y48" s="93" t="str">
        <f t="shared" ca="1" si="96"/>
        <v>---</v>
      </c>
      <c r="Z48" s="290" t="str">
        <f t="shared" ca="1" si="85"/>
        <v>---</v>
      </c>
      <c r="AA48" s="290" t="str">
        <f t="shared" ca="1" si="86"/>
        <v>---</v>
      </c>
      <c r="AB48" s="93" t="str">
        <f t="shared" ca="1" si="97"/>
        <v>--</v>
      </c>
      <c r="AC48" s="291" t="str">
        <f t="shared" ca="1" si="98"/>
        <v>--</v>
      </c>
      <c r="AD48" s="93" t="str">
        <f t="shared" ca="1" si="99"/>
        <v>--</v>
      </c>
      <c r="AE48" s="93" t="str">
        <f t="shared" ca="1" si="100"/>
        <v>---</v>
      </c>
      <c r="AF48" s="93" t="str">
        <f t="shared" ca="1" si="101"/>
        <v>---</v>
      </c>
      <c r="AG48" s="292" t="str">
        <f t="shared" ca="1" si="87"/>
        <v>---</v>
      </c>
      <c r="AH48" s="292" t="str">
        <f t="shared" ca="1" si="88"/>
        <v>---</v>
      </c>
      <c r="AI48" s="292" t="str">
        <f t="shared" ca="1" si="89"/>
        <v>---</v>
      </c>
      <c r="AJ48" s="292" t="str">
        <f t="shared" ca="1" si="90"/>
        <v>---</v>
      </c>
      <c r="AK48" s="293" t="str">
        <f t="shared" ca="1" si="102"/>
        <v>---</v>
      </c>
      <c r="AL48" s="293" t="str">
        <f t="shared" ca="1" si="102"/>
        <v>---</v>
      </c>
      <c r="AM48" s="293" t="str">
        <f t="shared" ca="1" si="102"/>
        <v>---</v>
      </c>
      <c r="AN48" s="294" t="str">
        <f t="shared" ca="1" si="103"/>
        <v>---</v>
      </c>
      <c r="AO48" s="294" t="str">
        <f t="shared" ca="1" si="104"/>
        <v>---</v>
      </c>
      <c r="AP48" s="294" t="str">
        <f t="shared" ca="1" si="105"/>
        <v>---</v>
      </c>
      <c r="AQ48" s="307"/>
      <c r="AR48" s="308"/>
      <c r="AS48" s="309"/>
      <c r="AT48" s="310"/>
      <c r="AU48" s="10"/>
      <c r="AV48" s="41"/>
      <c r="AW48" s="41"/>
      <c r="AX48" s="41"/>
      <c r="AY48" s="41"/>
      <c r="AZ48" s="41"/>
      <c r="BA48" s="41"/>
      <c r="BB48" s="41"/>
      <c r="BC48" s="41"/>
    </row>
    <row r="49" spans="2:55" ht="18" customHeight="1" x14ac:dyDescent="0.4">
      <c r="B49" s="340" t="s">
        <v>80</v>
      </c>
      <c r="C49" s="341"/>
      <c r="D49" s="14">
        <f>(D44)*1000/$D$48</f>
        <v>12.055200109288567</v>
      </c>
      <c r="E49" s="14">
        <f>(E44)*1000/$E$48</f>
        <v>11.856275159933558</v>
      </c>
      <c r="F49" s="343"/>
      <c r="G49" s="14">
        <f>G44*1000/$G$48</f>
        <v>1.0086072280897758</v>
      </c>
      <c r="H49" s="14">
        <f>H44*1000/$H$48</f>
        <v>0.92085075207174305</v>
      </c>
      <c r="I49" s="333"/>
      <c r="L49" s="305" t="s">
        <v>72</v>
      </c>
      <c r="M49" s="306">
        <f>H50</f>
        <v>3.6834030082869722E-2</v>
      </c>
      <c r="N49" s="88"/>
      <c r="O49" s="88">
        <v>5</v>
      </c>
      <c r="P49" s="93" t="str">
        <f t="shared" ca="1" si="81"/>
        <v>---</v>
      </c>
      <c r="Q49" s="93" t="str">
        <f t="shared" ca="1" si="82"/>
        <v>---</v>
      </c>
      <c r="R49" s="93" t="str">
        <f t="shared" ca="1" si="83"/>
        <v>---</v>
      </c>
      <c r="S49" s="93" t="str">
        <f t="shared" ca="1" si="84"/>
        <v>---</v>
      </c>
      <c r="T49" s="93" t="str">
        <f t="shared" ca="1" si="91"/>
        <v>---</v>
      </c>
      <c r="U49" s="289" t="str">
        <f t="shared" ca="1" si="92"/>
        <v>---</v>
      </c>
      <c r="V49" s="289" t="str">
        <f t="shared" ca="1" si="93"/>
        <v>---</v>
      </c>
      <c r="W49" s="93" t="str">
        <f t="shared" ca="1" si="94"/>
        <v>---</v>
      </c>
      <c r="X49" s="93" t="str">
        <f t="shared" ca="1" si="95"/>
        <v>---</v>
      </c>
      <c r="Y49" s="93" t="str">
        <f t="shared" ca="1" si="96"/>
        <v>---</v>
      </c>
      <c r="Z49" s="290" t="str">
        <f t="shared" ca="1" si="85"/>
        <v>---</v>
      </c>
      <c r="AA49" s="290" t="str">
        <f t="shared" ca="1" si="86"/>
        <v>---</v>
      </c>
      <c r="AB49" s="93" t="str">
        <f t="shared" ca="1" si="97"/>
        <v>--</v>
      </c>
      <c r="AC49" s="291" t="str">
        <f t="shared" ca="1" si="98"/>
        <v>--</v>
      </c>
      <c r="AD49" s="93" t="str">
        <f t="shared" ca="1" si="99"/>
        <v>--</v>
      </c>
      <c r="AE49" s="93" t="str">
        <f t="shared" ca="1" si="100"/>
        <v>---</v>
      </c>
      <c r="AF49" s="93" t="str">
        <f t="shared" ca="1" si="101"/>
        <v>---</v>
      </c>
      <c r="AG49" s="292" t="str">
        <f t="shared" ca="1" si="87"/>
        <v>---</v>
      </c>
      <c r="AH49" s="292" t="str">
        <f t="shared" ca="1" si="88"/>
        <v>---</v>
      </c>
      <c r="AI49" s="292" t="str">
        <f t="shared" ca="1" si="89"/>
        <v>---</v>
      </c>
      <c r="AJ49" s="292" t="str">
        <f t="shared" ca="1" si="90"/>
        <v>---</v>
      </c>
      <c r="AK49" s="293" t="str">
        <f t="shared" ca="1" si="102"/>
        <v>---</v>
      </c>
      <c r="AL49" s="293" t="str">
        <f t="shared" ca="1" si="102"/>
        <v>---</v>
      </c>
      <c r="AM49" s="293" t="str">
        <f t="shared" ca="1" si="102"/>
        <v>---</v>
      </c>
      <c r="AN49" s="294" t="str">
        <f t="shared" ca="1" si="103"/>
        <v>---</v>
      </c>
      <c r="AO49" s="294" t="str">
        <f t="shared" ca="1" si="104"/>
        <v>---</v>
      </c>
      <c r="AP49" s="294" t="str">
        <f t="shared" ca="1" si="105"/>
        <v>---</v>
      </c>
      <c r="AQ49" s="311"/>
      <c r="AR49" s="312"/>
      <c r="AS49" s="313"/>
      <c r="AT49" s="314"/>
      <c r="AU49" s="10"/>
      <c r="AV49" s="41"/>
      <c r="AW49" s="41"/>
      <c r="AX49" s="41"/>
      <c r="AY49" s="41"/>
      <c r="AZ49" s="41"/>
      <c r="BA49" s="41"/>
      <c r="BB49" s="41"/>
      <c r="BC49" s="41"/>
    </row>
    <row r="50" spans="2:55" ht="18" customHeight="1" x14ac:dyDescent="0.4">
      <c r="B50" s="340" t="s">
        <v>79</v>
      </c>
      <c r="C50" s="341"/>
      <c r="D50" s="14">
        <f>(D45)*1000/$D$48</f>
        <v>6.0276000546442834</v>
      </c>
      <c r="E50" s="14">
        <f>(E45)*1000/$E$48</f>
        <v>5.928137579966779</v>
      </c>
      <c r="G50" s="14">
        <f>G45*1000/$G$48</f>
        <v>4.0344289123591039E-2</v>
      </c>
      <c r="H50" s="14">
        <f>H45*1000/$H$48</f>
        <v>3.6834030082869722E-2</v>
      </c>
      <c r="I50" s="333"/>
      <c r="L50" s="305" t="s">
        <v>73</v>
      </c>
      <c r="M50" s="315">
        <f>H62</f>
        <v>5.4980694980694978E-7</v>
      </c>
      <c r="N50" s="88"/>
      <c r="O50" s="88">
        <v>6</v>
      </c>
      <c r="P50" s="93" t="str">
        <f t="shared" ca="1" si="81"/>
        <v>---</v>
      </c>
      <c r="Q50" s="93" t="str">
        <f t="shared" ca="1" si="82"/>
        <v>---</v>
      </c>
      <c r="R50" s="93" t="str">
        <f t="shared" ca="1" si="83"/>
        <v>---</v>
      </c>
      <c r="S50" s="93" t="str">
        <f t="shared" ca="1" si="84"/>
        <v>---</v>
      </c>
      <c r="T50" s="93" t="str">
        <f t="shared" ca="1" si="91"/>
        <v>---</v>
      </c>
      <c r="U50" s="289" t="str">
        <f t="shared" ca="1" si="92"/>
        <v>---</v>
      </c>
      <c r="V50" s="289" t="str">
        <f t="shared" ca="1" si="93"/>
        <v>---</v>
      </c>
      <c r="W50" s="93" t="str">
        <f t="shared" ca="1" si="94"/>
        <v>---</v>
      </c>
      <c r="X50" s="93" t="str">
        <f t="shared" ca="1" si="95"/>
        <v>---</v>
      </c>
      <c r="Y50" s="93" t="str">
        <f t="shared" ca="1" si="96"/>
        <v>---</v>
      </c>
      <c r="Z50" s="290" t="str">
        <f t="shared" ca="1" si="85"/>
        <v>---</v>
      </c>
      <c r="AA50" s="290" t="str">
        <f t="shared" ca="1" si="86"/>
        <v>---</v>
      </c>
      <c r="AB50" s="93" t="str">
        <f t="shared" ca="1" si="97"/>
        <v>--</v>
      </c>
      <c r="AC50" s="291" t="str">
        <f t="shared" ca="1" si="98"/>
        <v>--</v>
      </c>
      <c r="AD50" s="93" t="str">
        <f t="shared" ca="1" si="99"/>
        <v>--</v>
      </c>
      <c r="AE50" s="93" t="str">
        <f t="shared" ca="1" si="100"/>
        <v>---</v>
      </c>
      <c r="AF50" s="93" t="str">
        <f t="shared" ca="1" si="101"/>
        <v>---</v>
      </c>
      <c r="AG50" s="292" t="str">
        <f t="shared" ca="1" si="87"/>
        <v>---</v>
      </c>
      <c r="AH50" s="292" t="str">
        <f t="shared" ca="1" si="88"/>
        <v>---</v>
      </c>
      <c r="AI50" s="292" t="str">
        <f t="shared" ca="1" si="89"/>
        <v>---</v>
      </c>
      <c r="AJ50" s="292" t="str">
        <f t="shared" ca="1" si="90"/>
        <v>---</v>
      </c>
      <c r="AK50" s="293" t="str">
        <f t="shared" ca="1" si="102"/>
        <v>---</v>
      </c>
      <c r="AL50" s="293" t="str">
        <f t="shared" ca="1" si="102"/>
        <v>---</v>
      </c>
      <c r="AM50" s="293" t="str">
        <f t="shared" ca="1" si="102"/>
        <v>---</v>
      </c>
      <c r="AN50" s="294" t="str">
        <f t="shared" ca="1" si="103"/>
        <v>---</v>
      </c>
      <c r="AO50" s="294" t="str">
        <f t="shared" ca="1" si="104"/>
        <v>---</v>
      </c>
      <c r="AP50" s="294" t="str">
        <f t="shared" ca="1" si="105"/>
        <v>---</v>
      </c>
      <c r="AQ50" s="91"/>
      <c r="AS50" s="316"/>
      <c r="AT50" s="317"/>
      <c r="AU50" s="10"/>
      <c r="AV50" s="41"/>
      <c r="AW50" s="41"/>
      <c r="AX50" s="41"/>
      <c r="AY50" s="41"/>
      <c r="AZ50" s="41"/>
      <c r="BA50" s="41"/>
      <c r="BB50" s="41"/>
      <c r="BC50" s="41"/>
    </row>
    <row r="51" spans="2:55" ht="25" customHeight="1" thickBot="1" x14ac:dyDescent="0.35">
      <c r="D51" s="24" t="str">
        <f>IF(D52&gt;=3,"Большая скорость потока!","")</f>
        <v/>
      </c>
      <c r="E51" s="24" t="str">
        <f>IF(E52&gt;=3,"Большая скорость потока!","")</f>
        <v/>
      </c>
      <c r="F51" s="24"/>
      <c r="G51" s="24" t="str">
        <f>IF(G52&gt;=3,"Большая скорость потока!","")</f>
        <v/>
      </c>
      <c r="H51" s="24" t="str">
        <f>IF(H52&gt;=3,"Большая скорость потока!","")</f>
        <v/>
      </c>
      <c r="I51" s="333"/>
      <c r="L51" s="318" t="s">
        <v>102</v>
      </c>
      <c r="M51" s="319">
        <f>(M48/3.6)/((PI()*M47^2)/4000)</f>
        <v>0.52109492992749251</v>
      </c>
      <c r="O51" s="88">
        <v>7</v>
      </c>
      <c r="P51" s="93" t="str">
        <f t="shared" ca="1" si="81"/>
        <v>---</v>
      </c>
      <c r="Q51" s="93" t="str">
        <f t="shared" ca="1" si="82"/>
        <v>---</v>
      </c>
      <c r="R51" s="93" t="str">
        <f t="shared" ca="1" si="83"/>
        <v>---</v>
      </c>
      <c r="S51" s="93" t="str">
        <f t="shared" ca="1" si="84"/>
        <v>---</v>
      </c>
      <c r="T51" s="93" t="str">
        <f t="shared" ca="1" si="91"/>
        <v>---</v>
      </c>
      <c r="U51" s="289" t="str">
        <f t="shared" ca="1" si="92"/>
        <v>---</v>
      </c>
      <c r="V51" s="289" t="str">
        <f t="shared" ca="1" si="93"/>
        <v>---</v>
      </c>
      <c r="W51" s="93" t="str">
        <f t="shared" ca="1" si="94"/>
        <v>---</v>
      </c>
      <c r="X51" s="93" t="str">
        <f t="shared" ca="1" si="95"/>
        <v>---</v>
      </c>
      <c r="Y51" s="93" t="str">
        <f t="shared" ca="1" si="96"/>
        <v>---</v>
      </c>
      <c r="Z51" s="290" t="str">
        <f t="shared" ca="1" si="85"/>
        <v>---</v>
      </c>
      <c r="AA51" s="290" t="str">
        <f t="shared" ca="1" si="86"/>
        <v>---</v>
      </c>
      <c r="AB51" s="93" t="str">
        <f t="shared" ca="1" si="97"/>
        <v>--</v>
      </c>
      <c r="AC51" s="291" t="str">
        <f t="shared" ca="1" si="98"/>
        <v>--</v>
      </c>
      <c r="AD51" s="93" t="str">
        <f t="shared" ca="1" si="99"/>
        <v>--</v>
      </c>
      <c r="AE51" s="93" t="str">
        <f t="shared" ca="1" si="100"/>
        <v>---</v>
      </c>
      <c r="AF51" s="93" t="str">
        <f t="shared" ca="1" si="101"/>
        <v>---</v>
      </c>
      <c r="AG51" s="292" t="str">
        <f t="shared" ca="1" si="87"/>
        <v>---</v>
      </c>
      <c r="AH51" s="292" t="str">
        <f t="shared" ca="1" si="88"/>
        <v>---</v>
      </c>
      <c r="AI51" s="292" t="str">
        <f t="shared" ca="1" si="89"/>
        <v>---</v>
      </c>
      <c r="AJ51" s="292" t="str">
        <f t="shared" ca="1" si="90"/>
        <v>---</v>
      </c>
      <c r="AK51" s="293" t="str">
        <f t="shared" ca="1" si="102"/>
        <v>---</v>
      </c>
      <c r="AL51" s="293" t="str">
        <f t="shared" ca="1" si="102"/>
        <v>---</v>
      </c>
      <c r="AM51" s="293" t="str">
        <f t="shared" ca="1" si="102"/>
        <v>---</v>
      </c>
      <c r="AN51" s="294" t="str">
        <f t="shared" ca="1" si="103"/>
        <v>---</v>
      </c>
      <c r="AO51" s="294" t="str">
        <f t="shared" ca="1" si="104"/>
        <v>---</v>
      </c>
      <c r="AP51" s="294" t="str">
        <f t="shared" ca="1" si="105"/>
        <v>---</v>
      </c>
      <c r="AR51" s="320"/>
      <c r="AT51" s="9"/>
      <c r="AU51" s="10"/>
      <c r="AV51" s="41"/>
      <c r="AW51" s="41"/>
      <c r="AX51" s="41"/>
      <c r="AY51" s="41"/>
      <c r="AZ51" s="41"/>
      <c r="BA51" s="41"/>
      <c r="BB51" s="41"/>
      <c r="BC51" s="41"/>
    </row>
    <row r="52" spans="2:55" ht="18" customHeight="1" x14ac:dyDescent="0.3">
      <c r="B52" s="340" t="s">
        <v>24</v>
      </c>
      <c r="C52" s="341"/>
      <c r="D52" s="61">
        <f>M10</f>
        <v>1.7054619443157619</v>
      </c>
      <c r="E52" s="26">
        <f>M23</f>
        <v>1.6773198207654023</v>
      </c>
      <c r="G52" s="26">
        <f>M38</f>
        <v>0.22295114720653134</v>
      </c>
      <c r="H52" s="26">
        <f>M51</f>
        <v>0.52109492992749251</v>
      </c>
      <c r="I52" s="333"/>
      <c r="O52" s="88">
        <v>8</v>
      </c>
      <c r="P52" s="93" t="str">
        <f t="shared" ca="1" si="81"/>
        <v>---</v>
      </c>
      <c r="Q52" s="93" t="str">
        <f t="shared" ca="1" si="82"/>
        <v>---</v>
      </c>
      <c r="R52" s="93" t="str">
        <f t="shared" ca="1" si="83"/>
        <v>---</v>
      </c>
      <c r="S52" s="93" t="str">
        <f t="shared" ca="1" si="84"/>
        <v>---</v>
      </c>
      <c r="T52" s="93" t="str">
        <f t="shared" ca="1" si="91"/>
        <v>---</v>
      </c>
      <c r="U52" s="289" t="str">
        <f t="shared" ca="1" si="92"/>
        <v>---</v>
      </c>
      <c r="V52" s="289" t="str">
        <f t="shared" ca="1" si="93"/>
        <v>---</v>
      </c>
      <c r="W52" s="93" t="str">
        <f t="shared" ca="1" si="94"/>
        <v>---</v>
      </c>
      <c r="X52" s="93" t="str">
        <f t="shared" ca="1" si="95"/>
        <v>---</v>
      </c>
      <c r="Y52" s="93" t="str">
        <f t="shared" ca="1" si="96"/>
        <v>---</v>
      </c>
      <c r="Z52" s="290" t="str">
        <f t="shared" ca="1" si="85"/>
        <v>---</v>
      </c>
      <c r="AA52" s="290" t="str">
        <f t="shared" ca="1" si="86"/>
        <v>---</v>
      </c>
      <c r="AB52" s="93" t="str">
        <f t="shared" ca="1" si="97"/>
        <v>--</v>
      </c>
      <c r="AC52" s="291" t="str">
        <f t="shared" ca="1" si="98"/>
        <v>--</v>
      </c>
      <c r="AD52" s="93" t="str">
        <f t="shared" ca="1" si="99"/>
        <v>--</v>
      </c>
      <c r="AE52" s="93" t="str">
        <f t="shared" ca="1" si="100"/>
        <v>---</v>
      </c>
      <c r="AF52" s="93" t="str">
        <f t="shared" ca="1" si="101"/>
        <v>---</v>
      </c>
      <c r="AG52" s="292" t="str">
        <f t="shared" ca="1" si="87"/>
        <v>---</v>
      </c>
      <c r="AH52" s="292" t="str">
        <f t="shared" ca="1" si="88"/>
        <v>---</v>
      </c>
      <c r="AI52" s="292" t="str">
        <f t="shared" ca="1" si="89"/>
        <v>---</v>
      </c>
      <c r="AJ52" s="292" t="str">
        <f t="shared" ca="1" si="90"/>
        <v>---</v>
      </c>
      <c r="AK52" s="293" t="str">
        <f t="shared" ca="1" si="102"/>
        <v>---</v>
      </c>
      <c r="AL52" s="293" t="str">
        <f t="shared" ca="1" si="102"/>
        <v>---</v>
      </c>
      <c r="AM52" s="293" t="str">
        <f t="shared" ca="1" si="102"/>
        <v>---</v>
      </c>
      <c r="AN52" s="294" t="str">
        <f t="shared" ca="1" si="103"/>
        <v>---</v>
      </c>
      <c r="AO52" s="294" t="str">
        <f t="shared" ca="1" si="104"/>
        <v>---</v>
      </c>
      <c r="AP52" s="294" t="str">
        <f t="shared" ca="1" si="105"/>
        <v>---</v>
      </c>
      <c r="AR52" s="320"/>
      <c r="AT52" s="9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2:55" ht="18" customHeight="1" x14ac:dyDescent="0.4">
      <c r="B53" s="340" t="s">
        <v>25</v>
      </c>
      <c r="C53" s="341"/>
      <c r="D53" s="12">
        <f ca="1">AR5</f>
        <v>2.6647842879933781</v>
      </c>
      <c r="E53" s="12">
        <f ca="1">AR18</f>
        <v>2.6208122199459409</v>
      </c>
      <c r="G53" s="12">
        <f ca="1">AR33</f>
        <v>1.585430380135334</v>
      </c>
      <c r="H53" s="12">
        <f ca="1">AR46</f>
        <v>1.4474859164652571</v>
      </c>
      <c r="I53" s="329"/>
      <c r="K53" s="397"/>
      <c r="O53" s="88">
        <v>9</v>
      </c>
      <c r="P53" s="93" t="str">
        <f t="shared" ca="1" si="81"/>
        <v>---</v>
      </c>
      <c r="Q53" s="93" t="str">
        <f t="shared" ca="1" si="82"/>
        <v>---</v>
      </c>
      <c r="R53" s="93" t="str">
        <f t="shared" ca="1" si="83"/>
        <v>---</v>
      </c>
      <c r="S53" s="93" t="str">
        <f t="shared" ca="1" si="84"/>
        <v>---</v>
      </c>
      <c r="T53" s="93" t="str">
        <f t="shared" ca="1" si="91"/>
        <v>---</v>
      </c>
      <c r="U53" s="289" t="str">
        <f t="shared" ca="1" si="92"/>
        <v>---</v>
      </c>
      <c r="V53" s="289" t="str">
        <f t="shared" ca="1" si="93"/>
        <v>---</v>
      </c>
      <c r="W53" s="93" t="str">
        <f t="shared" ca="1" si="94"/>
        <v>---</v>
      </c>
      <c r="X53" s="93" t="str">
        <f t="shared" ca="1" si="95"/>
        <v>---</v>
      </c>
      <c r="Y53" s="93" t="str">
        <f t="shared" ca="1" si="96"/>
        <v>---</v>
      </c>
      <c r="Z53" s="290" t="str">
        <f t="shared" ca="1" si="85"/>
        <v>---</v>
      </c>
      <c r="AA53" s="290" t="str">
        <f t="shared" ca="1" si="86"/>
        <v>---</v>
      </c>
      <c r="AB53" s="93" t="str">
        <f t="shared" ca="1" si="97"/>
        <v>--</v>
      </c>
      <c r="AC53" s="291" t="str">
        <f t="shared" ca="1" si="98"/>
        <v>--</v>
      </c>
      <c r="AD53" s="93" t="str">
        <f t="shared" ca="1" si="99"/>
        <v>--</v>
      </c>
      <c r="AE53" s="93" t="str">
        <f t="shared" ca="1" si="100"/>
        <v>---</v>
      </c>
      <c r="AF53" s="93" t="str">
        <f t="shared" ca="1" si="101"/>
        <v>---</v>
      </c>
      <c r="AG53" s="292" t="str">
        <f t="shared" ca="1" si="87"/>
        <v>---</v>
      </c>
      <c r="AH53" s="292" t="str">
        <f t="shared" ca="1" si="88"/>
        <v>---</v>
      </c>
      <c r="AI53" s="292" t="str">
        <f t="shared" ca="1" si="89"/>
        <v>---</v>
      </c>
      <c r="AJ53" s="292" t="str">
        <f t="shared" ca="1" si="90"/>
        <v>---</v>
      </c>
      <c r="AK53" s="293" t="str">
        <f t="shared" ca="1" si="102"/>
        <v>---</v>
      </c>
      <c r="AL53" s="293" t="str">
        <f t="shared" ca="1" si="102"/>
        <v>---</v>
      </c>
      <c r="AM53" s="293" t="str">
        <f t="shared" ca="1" si="102"/>
        <v>---</v>
      </c>
      <c r="AN53" s="294" t="str">
        <f t="shared" ca="1" si="103"/>
        <v>---</v>
      </c>
      <c r="AO53" s="294" t="str">
        <f t="shared" ca="1" si="104"/>
        <v>---</v>
      </c>
      <c r="AP53" s="294" t="str">
        <f t="shared" ca="1" si="105"/>
        <v>---</v>
      </c>
      <c r="AS53" s="41"/>
      <c r="AT53" s="9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2:55" ht="18" customHeight="1" x14ac:dyDescent="0.4">
      <c r="B54" s="340" t="s">
        <v>26</v>
      </c>
      <c r="C54" s="341"/>
      <c r="D54" s="12">
        <f ca="1">AR6</f>
        <v>8.9562691228646393E-2</v>
      </c>
      <c r="E54" s="12">
        <f ca="1">AR19</f>
        <v>8.6631299114318036E-2</v>
      </c>
      <c r="G54" s="12">
        <f ca="1">AR34</f>
        <v>9.1832092298488474E-2</v>
      </c>
      <c r="H54" s="12">
        <f ca="1">AR47</f>
        <v>5.594900402495144E-2</v>
      </c>
      <c r="I54" s="329"/>
      <c r="O54" s="88">
        <v>10</v>
      </c>
      <c r="P54" s="93" t="str">
        <f t="shared" ca="1" si="81"/>
        <v>---</v>
      </c>
      <c r="Q54" s="93" t="str">
        <f t="shared" ca="1" si="82"/>
        <v>---</v>
      </c>
      <c r="R54" s="93" t="str">
        <f t="shared" ca="1" si="83"/>
        <v>---</v>
      </c>
      <c r="S54" s="93" t="str">
        <f t="shared" ca="1" si="84"/>
        <v>---</v>
      </c>
      <c r="T54" s="93" t="str">
        <f t="shared" ca="1" si="91"/>
        <v>---</v>
      </c>
      <c r="U54" s="289" t="str">
        <f t="shared" ca="1" si="92"/>
        <v>---</v>
      </c>
      <c r="V54" s="289" t="str">
        <f t="shared" ca="1" si="93"/>
        <v>---</v>
      </c>
      <c r="W54" s="93" t="str">
        <f t="shared" ca="1" si="94"/>
        <v>---</v>
      </c>
      <c r="X54" s="93" t="str">
        <f t="shared" ca="1" si="95"/>
        <v>---</v>
      </c>
      <c r="Y54" s="93" t="str">
        <f t="shared" ca="1" si="96"/>
        <v>---</v>
      </c>
      <c r="Z54" s="290" t="str">
        <f t="shared" ca="1" si="85"/>
        <v>---</v>
      </c>
      <c r="AA54" s="290" t="str">
        <f t="shared" ca="1" si="86"/>
        <v>---</v>
      </c>
      <c r="AB54" s="93" t="str">
        <f t="shared" ca="1" si="97"/>
        <v>--</v>
      </c>
      <c r="AC54" s="291" t="str">
        <f t="shared" ca="1" si="98"/>
        <v>--</v>
      </c>
      <c r="AD54" s="93" t="str">
        <f t="shared" ca="1" si="99"/>
        <v>--</v>
      </c>
      <c r="AE54" s="93" t="str">
        <f t="shared" ca="1" si="100"/>
        <v>---</v>
      </c>
      <c r="AF54" s="93" t="str">
        <f t="shared" ca="1" si="101"/>
        <v>---</v>
      </c>
      <c r="AG54" s="292" t="str">
        <f t="shared" ca="1" si="87"/>
        <v>---</v>
      </c>
      <c r="AH54" s="292" t="str">
        <f t="shared" ca="1" si="88"/>
        <v>---</v>
      </c>
      <c r="AI54" s="292" t="str">
        <f t="shared" ca="1" si="89"/>
        <v>---</v>
      </c>
      <c r="AJ54" s="292" t="str">
        <f t="shared" ca="1" si="90"/>
        <v>---</v>
      </c>
      <c r="AK54" s="293" t="str">
        <f t="shared" ca="1" si="102"/>
        <v>---</v>
      </c>
      <c r="AL54" s="293" t="str">
        <f t="shared" ca="1" si="102"/>
        <v>---</v>
      </c>
      <c r="AM54" s="293" t="str">
        <f t="shared" ca="1" si="102"/>
        <v>---</v>
      </c>
      <c r="AN54" s="294" t="str">
        <f t="shared" ca="1" si="103"/>
        <v>---</v>
      </c>
      <c r="AO54" s="294" t="str">
        <f t="shared" ca="1" si="104"/>
        <v>---</v>
      </c>
      <c r="AP54" s="294" t="str">
        <f t="shared" ca="1" si="105"/>
        <v>---</v>
      </c>
      <c r="AS54" s="41"/>
      <c r="AT54" s="9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2:55" ht="18" customHeight="1" x14ac:dyDescent="0.4">
      <c r="I55" s="329"/>
      <c r="AJ55" s="334"/>
      <c r="AK55" s="334"/>
      <c r="AL55" s="334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2:55" ht="18" customHeight="1" x14ac:dyDescent="0.4">
      <c r="I56" s="329"/>
      <c r="AJ56" s="334"/>
      <c r="AK56" s="334"/>
      <c r="AL56" s="334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2:55" ht="18" hidden="1" customHeight="1" x14ac:dyDescent="0.4">
      <c r="I57" s="329"/>
      <c r="K57" s="352"/>
      <c r="AJ57" s="334"/>
      <c r="AK57" s="334"/>
      <c r="AL57" s="334"/>
      <c r="AN57" s="41"/>
      <c r="AO57" s="41"/>
      <c r="AP57" s="41"/>
      <c r="AQ57" s="349"/>
      <c r="AR57" s="349"/>
      <c r="AS57" s="258"/>
      <c r="AT57" s="258"/>
      <c r="AU57" s="258"/>
      <c r="AV57" s="258"/>
      <c r="AW57" s="349"/>
      <c r="AX57" s="349"/>
      <c r="AY57" s="258"/>
      <c r="AZ57" s="258"/>
      <c r="BA57" s="258"/>
      <c r="BB57" s="258"/>
      <c r="BC57" s="349"/>
    </row>
    <row r="58" spans="2:55" ht="18" hidden="1" customHeight="1" x14ac:dyDescent="0.3">
      <c r="I58" s="8"/>
      <c r="AJ58" s="41"/>
      <c r="AK58" s="41"/>
      <c r="AL58" s="41"/>
      <c r="AN58" s="41"/>
      <c r="AO58" s="41"/>
      <c r="AP58" s="41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</row>
    <row r="59" spans="2:55" ht="18" hidden="1" customHeight="1" x14ac:dyDescent="0.3">
      <c r="I59" s="8"/>
      <c r="J59" s="352"/>
      <c r="AJ59" s="41"/>
      <c r="AK59" s="41"/>
      <c r="AL59" s="41"/>
      <c r="AN59" s="41"/>
      <c r="AO59" s="41"/>
      <c r="AP59" s="41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2:55" ht="18" hidden="1" customHeight="1" x14ac:dyDescent="0.3">
      <c r="I60" s="8"/>
      <c r="AJ60" s="349"/>
      <c r="AK60" s="349"/>
      <c r="AL60" s="349"/>
      <c r="AN60" s="258"/>
      <c r="AO60" s="258"/>
      <c r="AP60" s="349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2:55" ht="18" hidden="1" customHeight="1" x14ac:dyDescent="0.4">
      <c r="D61" s="398" t="s">
        <v>46</v>
      </c>
      <c r="E61" s="398" t="s">
        <v>47</v>
      </c>
      <c r="G61" s="398" t="s">
        <v>48</v>
      </c>
      <c r="H61" s="398" t="s">
        <v>49</v>
      </c>
      <c r="I61" s="8"/>
      <c r="AJ61" s="46"/>
      <c r="AK61" s="46"/>
      <c r="AL61" s="46"/>
      <c r="AN61" s="46"/>
      <c r="AO61" s="46"/>
      <c r="AP61" s="46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</row>
    <row r="62" spans="2:55" ht="18" hidden="1" customHeight="1" x14ac:dyDescent="0.3">
      <c r="C62" s="6" t="s">
        <v>19</v>
      </c>
      <c r="D62" s="23">
        <f>0.00000178/(1+0.0337*$D$47+0.000221*$D$47^2)</f>
        <v>2.8728095835636555E-7</v>
      </c>
      <c r="E62" s="23">
        <f>0.00000178/(1+0.0337*$E$47+0.000221*$E$47^2)</f>
        <v>4.0072941759157111E-7</v>
      </c>
      <c r="G62" s="23">
        <f>0.00000178/(1+0.0337*$G$47+0.000221*$G$47^2)</f>
        <v>4.6626152556580045E-7</v>
      </c>
      <c r="H62" s="23">
        <f>0.00000178/(1+0.0337*$H$47+0.000221*$H$47^2)</f>
        <v>5.4980694980694978E-7</v>
      </c>
      <c r="AJ62" s="45"/>
      <c r="AK62" s="45"/>
      <c r="AL62" s="45"/>
      <c r="AN62" s="45"/>
      <c r="AO62" s="45"/>
      <c r="AP62" s="45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</row>
    <row r="63" spans="2:55" ht="18" hidden="1" customHeight="1" x14ac:dyDescent="0.3">
      <c r="AJ63" s="45"/>
      <c r="AK63" s="45"/>
      <c r="AL63" s="45"/>
      <c r="AN63" s="45"/>
      <c r="AO63" s="45"/>
      <c r="AP63" s="45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</row>
    <row r="64" spans="2:55" ht="18" hidden="1" customHeight="1" x14ac:dyDescent="0.3">
      <c r="D64" s="354" t="str">
        <f>"Tр1 DN"&amp;D34</f>
        <v>Tр1 DN50</v>
      </c>
      <c r="E64" s="354" t="str">
        <f>"Тр2 DN"&amp;E34</f>
        <v>Тр2 DN50</v>
      </c>
      <c r="G64" s="354" t="str">
        <f>"Тр3 DN"&amp;G34</f>
        <v>Тр3 DN40</v>
      </c>
      <c r="H64" s="354" t="str">
        <f>"Тр4 DN"&amp;H34</f>
        <v>Тр4 DN25</v>
      </c>
      <c r="AJ64" s="48"/>
      <c r="AK64" s="48"/>
      <c r="AL64" s="48"/>
      <c r="AN64" s="48"/>
      <c r="AO64" s="48"/>
      <c r="AP64" s="48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</row>
    <row r="65" spans="3:59" ht="18" hidden="1" customHeight="1" x14ac:dyDescent="0.4">
      <c r="C65" s="329"/>
      <c r="D65" s="8"/>
      <c r="E65" s="8"/>
      <c r="F65" s="8"/>
      <c r="G65" s="8"/>
      <c r="H65" s="8"/>
      <c r="AJ65" s="49"/>
      <c r="AK65" s="49"/>
      <c r="AL65" s="49"/>
      <c r="AN65" s="49"/>
      <c r="AO65" s="49"/>
      <c r="AP65" s="49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</row>
    <row r="66" spans="3:59" ht="18" hidden="1" customHeight="1" x14ac:dyDescent="0.4">
      <c r="C66" s="329"/>
      <c r="D66" s="355"/>
      <c r="E66" s="8"/>
      <c r="F66" s="8"/>
      <c r="G66" s="8"/>
      <c r="H66" s="8"/>
      <c r="AJ66" s="46"/>
      <c r="AK66" s="46"/>
      <c r="AL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</row>
    <row r="67" spans="3:59" ht="18" hidden="1" customHeight="1" x14ac:dyDescent="0.4">
      <c r="C67" s="329"/>
      <c r="D67" s="355"/>
      <c r="E67" s="8"/>
      <c r="F67" s="8"/>
      <c r="G67" s="8"/>
      <c r="H67" s="8"/>
      <c r="AJ67" s="46"/>
      <c r="AK67" s="46"/>
      <c r="AL67" s="46"/>
      <c r="AN67" s="46"/>
      <c r="AO67" s="46"/>
      <c r="AP67" s="46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</row>
    <row r="68" spans="3:59" ht="18" hidden="1" customHeight="1" x14ac:dyDescent="0.3">
      <c r="C68" s="91"/>
      <c r="D68" s="92" t="s">
        <v>140</v>
      </c>
      <c r="E68" s="92" t="s">
        <v>152</v>
      </c>
      <c r="F68" s="91"/>
      <c r="G68" s="92" t="s">
        <v>153</v>
      </c>
      <c r="H68" s="92" t="s">
        <v>154</v>
      </c>
      <c r="AJ68" s="50"/>
      <c r="AK68" s="50"/>
      <c r="AL68" s="50"/>
      <c r="AN68" s="50"/>
      <c r="AO68" s="50"/>
      <c r="AP68" s="50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1"/>
      <c r="BD68" s="8"/>
      <c r="BE68" s="8"/>
      <c r="BF68" s="8"/>
      <c r="BG68" s="8"/>
    </row>
    <row r="69" spans="3:59" ht="18" hidden="1" customHeight="1" x14ac:dyDescent="0.3">
      <c r="C69" s="93" t="s">
        <v>146</v>
      </c>
      <c r="D69" s="399">
        <f>D47+273.15</f>
        <v>368.15</v>
      </c>
      <c r="E69" s="399">
        <f>E47+273.15</f>
        <v>343.15</v>
      </c>
      <c r="F69" s="91"/>
      <c r="G69" s="399">
        <f>G47+273.15</f>
        <v>333.15</v>
      </c>
      <c r="H69" s="399">
        <f>H47+273.15</f>
        <v>323.14999999999998</v>
      </c>
      <c r="AJ69" s="46"/>
      <c r="AK69" s="46"/>
      <c r="AL69" s="46"/>
      <c r="AN69" s="46"/>
      <c r="AO69" s="46"/>
      <c r="AP69" s="46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8"/>
      <c r="BE69" s="8"/>
      <c r="BF69" s="8"/>
      <c r="BG69" s="8"/>
    </row>
    <row r="70" spans="3:59" ht="18" hidden="1" customHeight="1" x14ac:dyDescent="0.3">
      <c r="C70" s="93" t="s">
        <v>147</v>
      </c>
      <c r="D70" s="93">
        <f>D35*0.0980665</f>
        <v>0.68646549999999995</v>
      </c>
      <c r="E70" s="93">
        <f>E35*0.0980665</f>
        <v>0.4903325</v>
      </c>
      <c r="F70" s="91"/>
      <c r="G70" s="93">
        <f>G35*0.0980665</f>
        <v>0.68646549999999995</v>
      </c>
      <c r="H70" s="93">
        <f>H35*0.0980665</f>
        <v>0.4903325</v>
      </c>
      <c r="AJ70" s="51"/>
      <c r="AK70" s="51"/>
      <c r="AL70" s="51"/>
      <c r="AN70" s="51"/>
      <c r="AO70" s="51"/>
      <c r="AP70" s="5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8"/>
      <c r="BE70" s="8"/>
      <c r="BF70" s="8"/>
      <c r="BG70" s="8"/>
    </row>
    <row r="71" spans="3:59" ht="18" hidden="1" customHeight="1" x14ac:dyDescent="0.3">
      <c r="C71" s="400" t="s">
        <v>148</v>
      </c>
      <c r="D71" s="93">
        <f>1386/D69</f>
        <v>3.7647697949205488</v>
      </c>
      <c r="E71" s="93">
        <f>1386/E69</f>
        <v>4.0390499781436695</v>
      </c>
      <c r="F71" s="91"/>
      <c r="G71" s="93">
        <f>1386/G69</f>
        <v>4.1602881584871678</v>
      </c>
      <c r="H71" s="93">
        <f>1386/H69</f>
        <v>4.2890298622930532</v>
      </c>
      <c r="AJ71" s="46"/>
      <c r="AK71" s="46"/>
      <c r="AL71" s="46"/>
      <c r="AN71" s="46"/>
      <c r="AO71" s="46"/>
      <c r="AP71" s="46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8"/>
      <c r="BE71" s="8"/>
      <c r="BF71" s="8"/>
      <c r="BG71" s="8"/>
    </row>
    <row r="72" spans="3:59" ht="18" hidden="1" customHeight="1" x14ac:dyDescent="0.3">
      <c r="C72" s="400" t="s">
        <v>149</v>
      </c>
      <c r="D72" s="93">
        <f>D70/16.53</f>
        <v>4.1528463399879E-2</v>
      </c>
      <c r="E72" s="93">
        <f>E70/16.53</f>
        <v>2.9663188142770719E-2</v>
      </c>
      <c r="F72" s="91"/>
      <c r="G72" s="93">
        <f>G70/16.53</f>
        <v>4.1528463399879E-2</v>
      </c>
      <c r="H72" s="93">
        <f>H70/16.53</f>
        <v>2.9663188142770719E-2</v>
      </c>
      <c r="AJ72" s="258"/>
      <c r="AK72" s="258"/>
      <c r="AL72" s="258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3:59" ht="18" hidden="1" customHeight="1" x14ac:dyDescent="0.3">
      <c r="C73" s="401" t="s">
        <v>150</v>
      </c>
      <c r="D73" s="401">
        <f>D72*H116*F116*D69/D70</f>
        <v>1.0393223007678336</v>
      </c>
      <c r="E73" s="401">
        <f>E72*I116*F116*E69/E70</f>
        <v>1.0225467089744245</v>
      </c>
      <c r="F73" s="91"/>
      <c r="G73" s="402">
        <f>G72*J116*F116*G69/G70</f>
        <v>1.0168124347291632</v>
      </c>
      <c r="H73" s="402">
        <f>H72*K117*F116*H69/H70</f>
        <v>1.0119239033755418</v>
      </c>
      <c r="AJ73" s="258"/>
      <c r="AK73" s="258"/>
      <c r="AL73" s="258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3:59" ht="18" hidden="1" customHeight="1" x14ac:dyDescent="0.4">
      <c r="C74" s="93"/>
      <c r="D74" s="403">
        <f>1/D73*1000</f>
        <v>962.16544113526379</v>
      </c>
      <c r="E74" s="403">
        <f>1/E73*1000</f>
        <v>977.95043612527195</v>
      </c>
      <c r="F74" s="91"/>
      <c r="G74" s="403">
        <f>1/G73*1000</f>
        <v>983.46554963832511</v>
      </c>
      <c r="H74" s="403">
        <f>1/H73*1000</f>
        <v>988.21660073868554</v>
      </c>
      <c r="AJ74" s="360"/>
      <c r="AK74" s="360"/>
      <c r="AL74" s="360"/>
      <c r="AN74" s="41"/>
      <c r="AO74" s="41"/>
      <c r="AP74" s="41"/>
      <c r="AQ74" s="383"/>
      <c r="AR74" s="383"/>
      <c r="AS74" s="383"/>
      <c r="AT74" s="383"/>
      <c r="AU74" s="383"/>
      <c r="AV74" s="41"/>
      <c r="AW74" s="41"/>
      <c r="AX74" s="41"/>
      <c r="AY74" s="41"/>
      <c r="AZ74" s="41"/>
      <c r="BA74" s="41"/>
      <c r="BB74" s="41"/>
      <c r="BC74" s="41"/>
    </row>
    <row r="75" spans="3:59" ht="18" hidden="1" customHeight="1" x14ac:dyDescent="0.4">
      <c r="AJ75" s="360"/>
      <c r="AK75" s="360"/>
      <c r="AL75" s="360"/>
      <c r="AN75" s="41"/>
      <c r="AO75" s="41"/>
      <c r="AP75" s="41"/>
      <c r="AQ75" s="393"/>
      <c r="AR75" s="393"/>
      <c r="AS75" s="41"/>
      <c r="AT75" s="393"/>
      <c r="AU75" s="393"/>
      <c r="AV75" s="41"/>
      <c r="AW75" s="41"/>
      <c r="AX75" s="41"/>
      <c r="AY75" s="41"/>
      <c r="AZ75" s="41"/>
      <c r="BA75" s="41"/>
      <c r="BB75" s="41"/>
      <c r="BC75" s="41"/>
    </row>
    <row r="76" spans="3:59" ht="18" hidden="1" customHeight="1" x14ac:dyDescent="0.3">
      <c r="AJ76" s="41"/>
      <c r="AK76" s="41"/>
      <c r="AL76" s="41"/>
      <c r="AN76" s="41"/>
      <c r="AO76" s="41"/>
      <c r="AP76" s="41"/>
      <c r="AQ76" s="392"/>
      <c r="AR76" s="394"/>
      <c r="AS76" s="41"/>
      <c r="AT76" s="394"/>
      <c r="AU76" s="394"/>
      <c r="AV76" s="41"/>
      <c r="AW76" s="41"/>
      <c r="AX76" s="41"/>
      <c r="AY76" s="41"/>
      <c r="AZ76" s="41"/>
      <c r="BA76" s="41"/>
      <c r="BB76" s="41"/>
      <c r="BC76" s="41"/>
    </row>
    <row r="77" spans="3:59" ht="18" hidden="1" customHeight="1" x14ac:dyDescent="0.35">
      <c r="AJ77" s="334"/>
      <c r="AK77" s="334"/>
      <c r="AL77" s="334"/>
      <c r="AN77" s="41"/>
      <c r="AO77" s="41"/>
      <c r="AP77" s="41"/>
      <c r="AQ77" s="316"/>
      <c r="AR77" s="338"/>
      <c r="AS77" s="41"/>
      <c r="AT77" s="316"/>
      <c r="AU77" s="338"/>
      <c r="AV77" s="41"/>
      <c r="AW77" s="41"/>
      <c r="AX77" s="41"/>
      <c r="AY77" s="41"/>
      <c r="AZ77" s="41"/>
      <c r="BA77" s="41"/>
      <c r="BB77" s="41"/>
      <c r="BC77" s="41"/>
    </row>
    <row r="78" spans="3:59" ht="18" hidden="1" customHeight="1" x14ac:dyDescent="0.3">
      <c r="AJ78" s="334"/>
      <c r="AK78" s="334"/>
      <c r="AL78" s="334"/>
      <c r="AN78" s="41"/>
      <c r="AO78" s="41"/>
      <c r="AP78" s="41"/>
      <c r="AQ78" s="9"/>
      <c r="AR78" s="9"/>
      <c r="AS78" s="41"/>
      <c r="AT78" s="9"/>
      <c r="AU78" s="9"/>
      <c r="AV78" s="41"/>
      <c r="AW78" s="41"/>
      <c r="AX78" s="41"/>
      <c r="AY78" s="41"/>
      <c r="AZ78" s="41"/>
      <c r="BA78" s="41"/>
      <c r="BB78" s="41"/>
      <c r="BC78" s="41"/>
    </row>
    <row r="79" spans="3:59" ht="18" hidden="1" customHeight="1" x14ac:dyDescent="0.3">
      <c r="AJ79" s="334"/>
      <c r="AK79" s="334"/>
      <c r="AL79" s="334"/>
      <c r="AN79" s="41"/>
      <c r="AO79" s="41"/>
      <c r="AP79" s="41"/>
      <c r="AQ79" s="41"/>
      <c r="AR79" s="41"/>
      <c r="AS79" s="41"/>
      <c r="AT79" s="10"/>
      <c r="AU79" s="10"/>
      <c r="AV79" s="41"/>
      <c r="AW79" s="41"/>
      <c r="AX79" s="41"/>
      <c r="AY79" s="41"/>
      <c r="AZ79" s="41"/>
      <c r="BA79" s="41"/>
      <c r="BB79" s="41"/>
      <c r="BC79" s="41"/>
    </row>
    <row r="80" spans="3:59" ht="18" hidden="1" customHeight="1" x14ac:dyDescent="0.3">
      <c r="AJ80" s="334"/>
      <c r="AK80" s="334"/>
      <c r="AL80" s="334"/>
      <c r="AN80" s="41"/>
      <c r="AO80" s="41"/>
      <c r="AP80" s="41"/>
      <c r="AQ80" s="10"/>
      <c r="AR80" s="10"/>
      <c r="AS80" s="41"/>
      <c r="AT80" s="10"/>
      <c r="AU80" s="10"/>
      <c r="AV80" s="41"/>
      <c r="AW80" s="41"/>
      <c r="AX80" s="41"/>
      <c r="AY80" s="41"/>
      <c r="AZ80" s="41"/>
      <c r="BA80" s="41"/>
      <c r="BB80" s="41"/>
      <c r="BC80" s="41"/>
    </row>
    <row r="81" spans="3:55" ht="18" hidden="1" customHeight="1" x14ac:dyDescent="0.5">
      <c r="C81" s="370" t="s">
        <v>141</v>
      </c>
      <c r="D81" s="370" t="s">
        <v>142</v>
      </c>
      <c r="E81" s="370" t="s">
        <v>143</v>
      </c>
      <c r="F81" s="371" t="s">
        <v>144</v>
      </c>
      <c r="G81" s="372"/>
      <c r="H81" s="373" t="s">
        <v>145</v>
      </c>
      <c r="I81" s="373" t="s">
        <v>145</v>
      </c>
      <c r="J81" s="373" t="s">
        <v>145</v>
      </c>
      <c r="M81" s="404"/>
      <c r="N81" s="258"/>
      <c r="O81" s="334"/>
      <c r="P81" s="334"/>
      <c r="Q81" s="405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4"/>
      <c r="AL81" s="334"/>
      <c r="AN81" s="41"/>
      <c r="AO81" s="41"/>
      <c r="AP81" s="41"/>
      <c r="AQ81" s="41"/>
      <c r="AR81" s="41"/>
      <c r="AS81" s="41"/>
      <c r="AT81" s="10"/>
      <c r="AU81" s="10"/>
      <c r="AV81" s="41"/>
      <c r="AW81" s="41"/>
      <c r="AX81" s="41"/>
      <c r="AY81" s="41"/>
      <c r="AZ81" s="41"/>
      <c r="BA81" s="41"/>
      <c r="BB81" s="41"/>
      <c r="BC81" s="41"/>
    </row>
    <row r="82" spans="3:55" ht="18" hidden="1" customHeight="1" x14ac:dyDescent="0.5">
      <c r="C82" s="357">
        <v>1</v>
      </c>
      <c r="D82" s="357">
        <v>0</v>
      </c>
      <c r="E82" s="357">
        <v>-2</v>
      </c>
      <c r="F82" s="374">
        <v>0.14632971213167001</v>
      </c>
      <c r="G82" s="375"/>
      <c r="H82" s="376">
        <f t="shared" ref="H82:H115" si="106">-F82*D82*(7.1-$D$72)^(D82-1)*($D$71-1.222)^E82</f>
        <v>0</v>
      </c>
      <c r="I82" s="376">
        <f>-F82*D82*(7.1-$E$72)^(D82-1)*($E$71-1.222)^E82</f>
        <v>0</v>
      </c>
      <c r="J82" s="377">
        <f>-F82*D82*(7.1-$G$72)^(D82-1)*($G$71-1.222)^E82</f>
        <v>0</v>
      </c>
      <c r="K82" s="373" t="s">
        <v>145</v>
      </c>
      <c r="M82" s="404"/>
      <c r="N82" s="258"/>
      <c r="O82" s="334"/>
      <c r="P82" s="334"/>
      <c r="Q82" s="405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  <c r="AH82" s="334"/>
      <c r="AI82" s="334"/>
      <c r="AJ82" s="334"/>
      <c r="AK82" s="334"/>
      <c r="AL82" s="334"/>
      <c r="AM82" s="334"/>
      <c r="AN82" s="41"/>
      <c r="AO82" s="41"/>
      <c r="AP82" s="41"/>
      <c r="AQ82" s="10"/>
      <c r="AR82" s="10"/>
      <c r="AS82" s="41"/>
      <c r="AT82" s="10"/>
      <c r="AU82" s="10"/>
      <c r="AV82" s="41"/>
      <c r="AW82" s="41"/>
      <c r="AX82" s="41"/>
      <c r="AY82" s="41"/>
      <c r="AZ82" s="41"/>
      <c r="BA82" s="41"/>
      <c r="BB82" s="41"/>
      <c r="BC82" s="41"/>
    </row>
    <row r="83" spans="3:55" ht="18" hidden="1" customHeight="1" x14ac:dyDescent="0.3">
      <c r="C83" s="357">
        <v>2</v>
      </c>
      <c r="D83" s="357">
        <v>0</v>
      </c>
      <c r="E83" s="357">
        <v>-1</v>
      </c>
      <c r="F83" s="374">
        <v>-0.84548187169113997</v>
      </c>
      <c r="G83" s="375"/>
      <c r="H83" s="376">
        <f t="shared" si="106"/>
        <v>0</v>
      </c>
      <c r="I83" s="376">
        <f t="shared" ref="I83:I115" si="107">-F83*D83*(7.1-$E$72)^(D83-1)*($E$71-1.222)^E83</f>
        <v>0</v>
      </c>
      <c r="J83" s="377">
        <f t="shared" ref="J83:J115" si="108">-F83*D83*(7.1-$G$72)^(D83-1)*($G$71-1.222)^E83</f>
        <v>0</v>
      </c>
      <c r="K83" s="377">
        <f>-F82*D82*(7.1-$H$72)^(D82-1)*($H$71-1.222)^E82</f>
        <v>0</v>
      </c>
      <c r="M83" s="404"/>
      <c r="N83" s="258"/>
      <c r="O83" s="334"/>
      <c r="P83" s="334"/>
      <c r="Q83" s="405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4"/>
      <c r="AI83" s="334"/>
      <c r="AJ83" s="334"/>
      <c r="AK83" s="334"/>
      <c r="AL83" s="334"/>
      <c r="AM83" s="334"/>
      <c r="AN83" s="41"/>
      <c r="AO83" s="41"/>
      <c r="AP83" s="41"/>
      <c r="AQ83" s="10"/>
      <c r="AR83" s="10"/>
      <c r="AS83" s="41"/>
      <c r="AT83" s="10"/>
      <c r="AU83" s="10"/>
      <c r="AV83" s="41"/>
      <c r="AW83" s="41"/>
      <c r="AX83" s="41"/>
      <c r="AY83" s="41"/>
      <c r="AZ83" s="41"/>
      <c r="BA83" s="41"/>
      <c r="BB83" s="41"/>
      <c r="BC83" s="41"/>
    </row>
    <row r="84" spans="3:55" ht="18" hidden="1" customHeight="1" x14ac:dyDescent="0.3">
      <c r="C84" s="357">
        <v>3</v>
      </c>
      <c r="D84" s="357">
        <v>0</v>
      </c>
      <c r="E84" s="357">
        <v>0</v>
      </c>
      <c r="F84" s="374">
        <v>-3.756360367204</v>
      </c>
      <c r="G84" s="375"/>
      <c r="H84" s="376">
        <f t="shared" si="106"/>
        <v>0</v>
      </c>
      <c r="I84" s="376">
        <f t="shared" si="107"/>
        <v>0</v>
      </c>
      <c r="J84" s="377">
        <f t="shared" si="108"/>
        <v>0</v>
      </c>
      <c r="K84" s="377">
        <f t="shared" ref="K84:K116" si="109">-F83*D83*(7.1-$H$72)^(D83-1)*($H$71-1.222)^E83</f>
        <v>0</v>
      </c>
      <c r="M84" s="404"/>
      <c r="N84" s="258"/>
      <c r="O84" s="334"/>
      <c r="P84" s="334"/>
      <c r="Q84" s="405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4"/>
      <c r="AN84" s="41"/>
      <c r="AO84" s="41"/>
      <c r="AP84" s="41"/>
      <c r="AQ84" s="10"/>
      <c r="AR84" s="10"/>
      <c r="AS84" s="41"/>
      <c r="AT84" s="10"/>
      <c r="AU84" s="10"/>
      <c r="AV84" s="41"/>
      <c r="AW84" s="41"/>
      <c r="AX84" s="41"/>
      <c r="AY84" s="41"/>
      <c r="AZ84" s="41"/>
      <c r="BA84" s="41"/>
      <c r="BB84" s="41"/>
      <c r="BC84" s="41"/>
    </row>
    <row r="85" spans="3:55" ht="18" hidden="1" customHeight="1" x14ac:dyDescent="0.3">
      <c r="C85" s="357">
        <v>4</v>
      </c>
      <c r="D85" s="357">
        <v>0</v>
      </c>
      <c r="E85" s="357">
        <v>1</v>
      </c>
      <c r="F85" s="374">
        <v>3.3855169168385002</v>
      </c>
      <c r="G85" s="375"/>
      <c r="H85" s="376">
        <f t="shared" si="106"/>
        <v>0</v>
      </c>
      <c r="I85" s="376">
        <f t="shared" si="107"/>
        <v>0</v>
      </c>
      <c r="J85" s="377">
        <f t="shared" si="108"/>
        <v>0</v>
      </c>
      <c r="K85" s="377">
        <f t="shared" si="109"/>
        <v>0</v>
      </c>
      <c r="M85" s="404"/>
      <c r="N85" s="258"/>
      <c r="O85" s="334"/>
      <c r="P85" s="334"/>
      <c r="Q85" s="405"/>
      <c r="R85" s="334"/>
      <c r="S85" s="334"/>
      <c r="T85" s="334"/>
      <c r="U85" s="334"/>
      <c r="V85" s="334"/>
      <c r="W85" s="334"/>
      <c r="X85" s="334"/>
      <c r="Y85" s="334"/>
      <c r="Z85" s="334"/>
      <c r="AA85" s="334"/>
      <c r="AB85" s="334"/>
      <c r="AC85" s="334"/>
      <c r="AD85" s="334"/>
      <c r="AE85" s="334"/>
      <c r="AF85" s="334"/>
      <c r="AG85" s="334"/>
      <c r="AH85" s="334"/>
      <c r="AI85" s="334"/>
      <c r="AJ85" s="334"/>
      <c r="AK85" s="334"/>
      <c r="AL85" s="334"/>
      <c r="AM85" s="334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3:55" ht="18" hidden="1" customHeight="1" x14ac:dyDescent="0.3">
      <c r="C86" s="357">
        <v>5</v>
      </c>
      <c r="D86" s="357">
        <v>0</v>
      </c>
      <c r="E86" s="357">
        <v>2</v>
      </c>
      <c r="F86" s="374">
        <v>-0.95791963387872003</v>
      </c>
      <c r="G86" s="375"/>
      <c r="H86" s="376">
        <f t="shared" si="106"/>
        <v>0</v>
      </c>
      <c r="I86" s="376">
        <f t="shared" si="107"/>
        <v>0</v>
      </c>
      <c r="J86" s="377">
        <f t="shared" si="108"/>
        <v>0</v>
      </c>
      <c r="K86" s="377">
        <f t="shared" si="109"/>
        <v>0</v>
      </c>
      <c r="M86" s="404"/>
      <c r="N86" s="258"/>
      <c r="O86" s="334"/>
      <c r="P86" s="334"/>
      <c r="Q86" s="405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334"/>
      <c r="AH86" s="334"/>
      <c r="AI86" s="334"/>
      <c r="AJ86" s="334"/>
      <c r="AK86" s="334"/>
      <c r="AL86" s="334"/>
      <c r="AM86" s="334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3:55" ht="18" hidden="1" customHeight="1" x14ac:dyDescent="0.3">
      <c r="C87" s="357">
        <v>6</v>
      </c>
      <c r="D87" s="357">
        <v>0</v>
      </c>
      <c r="E87" s="357">
        <v>3</v>
      </c>
      <c r="F87" s="374">
        <v>0.15772038513228001</v>
      </c>
      <c r="G87" s="375"/>
      <c r="H87" s="376">
        <f t="shared" si="106"/>
        <v>0</v>
      </c>
      <c r="I87" s="376">
        <f t="shared" si="107"/>
        <v>0</v>
      </c>
      <c r="J87" s="377">
        <f t="shared" si="108"/>
        <v>0</v>
      </c>
      <c r="K87" s="377">
        <f t="shared" si="109"/>
        <v>0</v>
      </c>
      <c r="M87" s="404"/>
      <c r="N87" s="258"/>
      <c r="O87" s="334"/>
      <c r="P87" s="334"/>
      <c r="Q87" s="405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334"/>
      <c r="AH87" s="334"/>
      <c r="AI87" s="334"/>
      <c r="AJ87" s="334"/>
      <c r="AK87" s="334"/>
      <c r="AL87" s="334"/>
      <c r="AM87" s="334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3:55" ht="18" hidden="1" customHeight="1" x14ac:dyDescent="0.3">
      <c r="C88" s="357">
        <v>7</v>
      </c>
      <c r="D88" s="357">
        <v>0</v>
      </c>
      <c r="E88" s="357">
        <v>4</v>
      </c>
      <c r="F88" s="374">
        <v>-1.6616417199501E-2</v>
      </c>
      <c r="G88" s="375"/>
      <c r="H88" s="376">
        <f t="shared" si="106"/>
        <v>0</v>
      </c>
      <c r="I88" s="376">
        <f t="shared" si="107"/>
        <v>0</v>
      </c>
      <c r="J88" s="377">
        <f t="shared" si="108"/>
        <v>0</v>
      </c>
      <c r="K88" s="377">
        <f t="shared" si="109"/>
        <v>0</v>
      </c>
      <c r="M88" s="404"/>
      <c r="N88" s="258"/>
      <c r="O88" s="334"/>
      <c r="P88" s="334"/>
      <c r="Q88" s="405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4"/>
      <c r="AH88" s="334"/>
      <c r="AI88" s="334"/>
      <c r="AJ88" s="334"/>
      <c r="AK88" s="334"/>
      <c r="AL88" s="334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  <row r="89" spans="3:55" ht="18" hidden="1" customHeight="1" x14ac:dyDescent="0.3">
      <c r="C89" s="357">
        <v>8</v>
      </c>
      <c r="D89" s="357">
        <v>0</v>
      </c>
      <c r="E89" s="357">
        <v>5</v>
      </c>
      <c r="F89" s="374">
        <v>8.1214629983567997E-4</v>
      </c>
      <c r="G89" s="375"/>
      <c r="H89" s="376">
        <f t="shared" si="106"/>
        <v>0</v>
      </c>
      <c r="I89" s="376">
        <f t="shared" si="107"/>
        <v>0</v>
      </c>
      <c r="J89" s="377">
        <f t="shared" si="108"/>
        <v>0</v>
      </c>
      <c r="K89" s="377">
        <f t="shared" si="109"/>
        <v>0</v>
      </c>
      <c r="M89" s="404"/>
      <c r="N89" s="258"/>
      <c r="O89" s="334"/>
      <c r="P89" s="334"/>
      <c r="Q89" s="405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334"/>
      <c r="AH89" s="334"/>
      <c r="AI89" s="334"/>
      <c r="AJ89" s="334"/>
      <c r="AK89" s="334"/>
      <c r="AL89" s="334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</row>
    <row r="90" spans="3:55" ht="18" hidden="1" customHeight="1" x14ac:dyDescent="0.3">
      <c r="C90" s="357">
        <v>9</v>
      </c>
      <c r="D90" s="357">
        <v>1</v>
      </c>
      <c r="E90" s="357">
        <v>-9</v>
      </c>
      <c r="F90" s="374">
        <v>2.8319080123804E-4</v>
      </c>
      <c r="G90" s="375"/>
      <c r="H90" s="376">
        <f t="shared" si="106"/>
        <v>-6.3725866184286286E-8</v>
      </c>
      <c r="I90" s="376">
        <f>-F90*D90*(7.1-$E$72)^(D90-1)*($E$71-1.222)^E90</f>
        <v>-2.534709392903721E-8</v>
      </c>
      <c r="J90" s="377">
        <f>-F90*D90*(7.1-$G$72)^(D90-1)*($G$71-1.222)^E90</f>
        <v>-1.7347211690283853E-8</v>
      </c>
      <c r="K90" s="377">
        <f t="shared" si="109"/>
        <v>0</v>
      </c>
      <c r="M90" s="350"/>
      <c r="N90" s="351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  <c r="AH90" s="334"/>
      <c r="AI90" s="334"/>
      <c r="AJ90" s="334"/>
      <c r="AK90" s="334"/>
      <c r="AL90" s="334"/>
      <c r="AM90" s="349"/>
      <c r="AN90" s="41"/>
      <c r="AO90" s="41"/>
      <c r="AP90" s="41"/>
      <c r="AQ90" s="349"/>
      <c r="AR90" s="349"/>
      <c r="AS90" s="258"/>
      <c r="AT90" s="258"/>
      <c r="AU90" s="258"/>
      <c r="AV90" s="258"/>
      <c r="AW90" s="349"/>
      <c r="AX90" s="349"/>
      <c r="AY90" s="258"/>
      <c r="AZ90" s="258"/>
      <c r="BA90" s="258"/>
      <c r="BB90" s="258"/>
      <c r="BC90" s="349"/>
    </row>
    <row r="91" spans="3:55" ht="18" hidden="1" customHeight="1" x14ac:dyDescent="0.3">
      <c r="C91" s="357">
        <v>10</v>
      </c>
      <c r="D91" s="357">
        <v>1</v>
      </c>
      <c r="E91" s="357">
        <v>-7</v>
      </c>
      <c r="F91" s="374">
        <v>-6.0706301565873996E-4</v>
      </c>
      <c r="G91" s="375"/>
      <c r="H91" s="376">
        <f t="shared" si="106"/>
        <v>8.8325167106959371E-7</v>
      </c>
      <c r="I91" s="376">
        <f t="shared" si="107"/>
        <v>4.3119320756857168E-7</v>
      </c>
      <c r="J91" s="377">
        <f t="shared" si="108"/>
        <v>3.2105030052185256E-7</v>
      </c>
      <c r="K91" s="377">
        <f t="shared" si="109"/>
        <v>-1.1792804569043264E-8</v>
      </c>
      <c r="M91" s="259"/>
      <c r="N91" s="345"/>
      <c r="O91" s="258"/>
      <c r="P91" s="41"/>
      <c r="Q91" s="41"/>
      <c r="R91" s="41"/>
      <c r="S91" s="41"/>
      <c r="T91" s="41"/>
      <c r="U91" s="258"/>
      <c r="V91" s="41"/>
      <c r="W91" s="41"/>
      <c r="X91" s="41"/>
      <c r="Y91" s="41"/>
      <c r="Z91" s="41"/>
      <c r="AA91" s="258"/>
      <c r="AB91" s="41"/>
      <c r="AC91" s="41"/>
      <c r="AD91" s="41"/>
      <c r="AE91" s="41"/>
      <c r="AF91" s="41"/>
      <c r="AG91" s="258"/>
      <c r="AH91" s="41"/>
      <c r="AI91" s="41"/>
      <c r="AJ91" s="41"/>
      <c r="AK91" s="41"/>
      <c r="AL91" s="41"/>
      <c r="AM91" s="46"/>
      <c r="AN91" s="41"/>
      <c r="AO91" s="41"/>
      <c r="AP91" s="41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</row>
    <row r="92" spans="3:55" ht="18" hidden="1" customHeight="1" x14ac:dyDescent="0.3">
      <c r="C92" s="357">
        <v>11</v>
      </c>
      <c r="D92" s="357">
        <v>1</v>
      </c>
      <c r="E92" s="357">
        <v>-1</v>
      </c>
      <c r="F92" s="374">
        <v>-1.8990068218419E-2</v>
      </c>
      <c r="G92" s="375"/>
      <c r="H92" s="376">
        <f t="shared" si="106"/>
        <v>7.4682608926508682E-3</v>
      </c>
      <c r="I92" s="376">
        <f t="shared" si="107"/>
        <v>6.7411186758329173E-3</v>
      </c>
      <c r="J92" s="377">
        <f t="shared" si="108"/>
        <v>6.4629699995783904E-3</v>
      </c>
      <c r="K92" s="377">
        <f t="shared" si="109"/>
        <v>2.3779775118498998E-7</v>
      </c>
      <c r="M92" s="259"/>
      <c r="N92" s="345"/>
      <c r="O92" s="258"/>
      <c r="P92" s="41"/>
      <c r="Q92" s="41"/>
      <c r="R92" s="41"/>
      <c r="S92" s="41"/>
      <c r="T92" s="41"/>
      <c r="U92" s="258"/>
      <c r="V92" s="41"/>
      <c r="W92" s="41"/>
      <c r="X92" s="41"/>
      <c r="Y92" s="41"/>
      <c r="Z92" s="41"/>
      <c r="AA92" s="258"/>
      <c r="AB92" s="41"/>
      <c r="AC92" s="41"/>
      <c r="AD92" s="41"/>
      <c r="AE92" s="41"/>
      <c r="AF92" s="41"/>
      <c r="AG92" s="258"/>
      <c r="AH92" s="41"/>
      <c r="AI92" s="41"/>
      <c r="AJ92" s="41"/>
      <c r="AK92" s="41"/>
      <c r="AL92" s="41"/>
      <c r="AM92" s="45"/>
      <c r="AN92" s="41"/>
      <c r="AO92" s="41"/>
      <c r="AP92" s="41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3:55" ht="18" hidden="1" customHeight="1" x14ac:dyDescent="0.3">
      <c r="C93" s="357">
        <v>12</v>
      </c>
      <c r="D93" s="357">
        <v>1</v>
      </c>
      <c r="E93" s="357">
        <v>0</v>
      </c>
      <c r="F93" s="374">
        <v>-3.2529748770504997E-2</v>
      </c>
      <c r="G93" s="375"/>
      <c r="H93" s="376">
        <f t="shared" si="106"/>
        <v>3.2529748770504997E-2</v>
      </c>
      <c r="I93" s="376">
        <f t="shared" si="107"/>
        <v>3.2529748770504997E-2</v>
      </c>
      <c r="J93" s="377">
        <f t="shared" si="108"/>
        <v>3.2529748770504997E-2</v>
      </c>
      <c r="K93" s="377">
        <f t="shared" si="109"/>
        <v>6.1916802480107402E-3</v>
      </c>
      <c r="M93" s="41"/>
      <c r="N93" s="34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45"/>
      <c r="AN93" s="258"/>
      <c r="AO93" s="258"/>
      <c r="AP93" s="349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3:55" ht="18" hidden="1" customHeight="1" x14ac:dyDescent="0.3">
      <c r="C94" s="357">
        <v>13</v>
      </c>
      <c r="D94" s="357">
        <v>1</v>
      </c>
      <c r="E94" s="357">
        <v>1</v>
      </c>
      <c r="F94" s="374">
        <v>-2.1841717175413999E-2</v>
      </c>
      <c r="G94" s="375"/>
      <c r="H94" s="376">
        <f t="shared" si="106"/>
        <v>5.5538458702840084E-2</v>
      </c>
      <c r="I94" s="376">
        <f t="shared" si="107"/>
        <v>6.1529208891620217E-2</v>
      </c>
      <c r="J94" s="377">
        <f t="shared" si="108"/>
        <v>6.4177258937544751E-2</v>
      </c>
      <c r="K94" s="377">
        <f t="shared" si="109"/>
        <v>3.2529748770504997E-2</v>
      </c>
      <c r="M94" s="350"/>
      <c r="N94" s="45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8"/>
      <c r="AN94" s="46"/>
      <c r="AO94" s="46"/>
      <c r="AP94" s="46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</row>
    <row r="95" spans="3:55" ht="15" hidden="1" x14ac:dyDescent="0.3">
      <c r="C95" s="357">
        <v>14</v>
      </c>
      <c r="D95" s="357">
        <v>1</v>
      </c>
      <c r="E95" s="357">
        <v>3</v>
      </c>
      <c r="F95" s="374">
        <v>-5.2838357969930002E-5</v>
      </c>
      <c r="G95" s="375"/>
      <c r="H95" s="376">
        <f t="shared" si="106"/>
        <v>8.687012460771047E-4</v>
      </c>
      <c r="I95" s="376">
        <f t="shared" si="107"/>
        <v>1.1812259215529407E-3</v>
      </c>
      <c r="J95" s="377">
        <f t="shared" si="108"/>
        <v>1.340393976333466E-3</v>
      </c>
      <c r="K95" s="377">
        <f t="shared" si="109"/>
        <v>6.6989198820753812E-2</v>
      </c>
      <c r="M95" s="351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9"/>
      <c r="AN95" s="45"/>
      <c r="AO95" s="45"/>
      <c r="AP95" s="45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</row>
    <row r="96" spans="3:55" ht="15" hidden="1" x14ac:dyDescent="0.3">
      <c r="C96" s="357">
        <v>15</v>
      </c>
      <c r="D96" s="357">
        <v>2</v>
      </c>
      <c r="E96" s="357">
        <v>-3</v>
      </c>
      <c r="F96" s="374">
        <v>-4.7184321073266998E-4</v>
      </c>
      <c r="G96" s="375"/>
      <c r="H96" s="376">
        <f t="shared" si="106"/>
        <v>4.0515130507769149E-4</v>
      </c>
      <c r="I96" s="376">
        <f t="shared" si="107"/>
        <v>2.9845863815808034E-4</v>
      </c>
      <c r="J96" s="377">
        <f t="shared" si="108"/>
        <v>2.6257611551903573E-4</v>
      </c>
      <c r="K96" s="377">
        <f t="shared" si="109"/>
        <v>1.5244153962908913E-3</v>
      </c>
      <c r="M96" s="351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6"/>
      <c r="AN96" s="45"/>
      <c r="AO96" s="45"/>
      <c r="AP96" s="45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</row>
    <row r="97" spans="3:55" ht="15.45" hidden="1" x14ac:dyDescent="0.3">
      <c r="C97" s="357">
        <v>16</v>
      </c>
      <c r="D97" s="357">
        <v>2</v>
      </c>
      <c r="E97" s="357">
        <v>0</v>
      </c>
      <c r="F97" s="374">
        <v>-3.0001780793025999E-4</v>
      </c>
      <c r="G97" s="375"/>
      <c r="H97" s="376">
        <f t="shared" si="106"/>
        <v>4.2353343154978044E-3</v>
      </c>
      <c r="I97" s="376">
        <f t="shared" si="107"/>
        <v>4.2424539032440579E-3</v>
      </c>
      <c r="J97" s="377">
        <f t="shared" si="108"/>
        <v>4.2353343154978044E-3</v>
      </c>
      <c r="K97" s="377">
        <f t="shared" si="109"/>
        <v>2.3126706851787825E-4</v>
      </c>
      <c r="M97" s="351"/>
      <c r="N97" s="47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6"/>
      <c r="AN97" s="48"/>
      <c r="AO97" s="48"/>
      <c r="AP97" s="48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</row>
    <row r="98" spans="3:55" ht="15" hidden="1" x14ac:dyDescent="0.3">
      <c r="C98" s="357">
        <v>17</v>
      </c>
      <c r="D98" s="357">
        <v>2</v>
      </c>
      <c r="E98" s="357">
        <v>1</v>
      </c>
      <c r="F98" s="374">
        <v>4.7661393906987001E-5</v>
      </c>
      <c r="G98" s="375"/>
      <c r="H98" s="376">
        <f t="shared" si="106"/>
        <v>-1.7108598987557538E-3</v>
      </c>
      <c r="I98" s="376">
        <f t="shared" si="107"/>
        <v>-1.8985908790791187E-3</v>
      </c>
      <c r="J98" s="377">
        <f t="shared" si="108"/>
        <v>-1.9769777788719014E-3</v>
      </c>
      <c r="K98" s="377">
        <f t="shared" si="109"/>
        <v>4.2424539032440579E-3</v>
      </c>
      <c r="M98" s="350"/>
      <c r="N98" s="45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50"/>
      <c r="AN98" s="49"/>
      <c r="AO98" s="49"/>
      <c r="AP98" s="49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</row>
    <row r="99" spans="3:55" ht="15" hidden="1" x14ac:dyDescent="0.3">
      <c r="C99" s="357">
        <v>18</v>
      </c>
      <c r="D99" s="357">
        <v>2</v>
      </c>
      <c r="E99" s="357">
        <v>3</v>
      </c>
      <c r="F99" s="374">
        <v>-4.4141845330845997E-6</v>
      </c>
      <c r="G99" s="375"/>
      <c r="H99" s="376">
        <f t="shared" si="106"/>
        <v>1.0245007479005954E-3</v>
      </c>
      <c r="I99" s="376">
        <f t="shared" si="107"/>
        <v>1.3954177381040739E-3</v>
      </c>
      <c r="J99" s="377">
        <f t="shared" si="108"/>
        <v>1.5807904471604759E-3</v>
      </c>
      <c r="K99" s="377">
        <f t="shared" si="109"/>
        <v>-2.0670683756381339E-3</v>
      </c>
      <c r="M99" s="258"/>
      <c r="N99" s="45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</row>
    <row r="100" spans="3:55" ht="15.45" hidden="1" x14ac:dyDescent="0.3">
      <c r="C100" s="357">
        <v>19</v>
      </c>
      <c r="D100" s="357">
        <v>2</v>
      </c>
      <c r="E100" s="357">
        <v>17</v>
      </c>
      <c r="F100" s="374">
        <v>-7.2694996297594001E-16</v>
      </c>
      <c r="G100" s="375"/>
      <c r="H100" s="376">
        <f t="shared" si="106"/>
        <v>7.9701212476431556E-8</v>
      </c>
      <c r="I100" s="376">
        <f t="shared" si="107"/>
        <v>4.5549330865626397E-7</v>
      </c>
      <c r="J100" s="377">
        <f>-F100*D100*(7.1-$G$72)^(D100-1)*($G$71-1.222)^E100</f>
        <v>9.3078574889509584E-7</v>
      </c>
      <c r="K100" s="377">
        <f t="shared" si="109"/>
        <v>1.800837795217588E-3</v>
      </c>
      <c r="M100" s="353"/>
      <c r="N100" s="47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51"/>
      <c r="AN100" s="46"/>
      <c r="AO100" s="46"/>
      <c r="AP100" s="46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</row>
    <row r="101" spans="3:55" ht="15.45" hidden="1" x14ac:dyDescent="0.3">
      <c r="C101" s="357">
        <v>20</v>
      </c>
      <c r="D101" s="357">
        <v>3</v>
      </c>
      <c r="E101" s="357">
        <v>-4</v>
      </c>
      <c r="F101" s="374">
        <v>-3.1679644845054002E-5</v>
      </c>
      <c r="G101" s="375"/>
      <c r="H101" s="376">
        <f t="shared" si="106"/>
        <v>1.1326473645925948E-4</v>
      </c>
      <c r="I101" s="376">
        <f t="shared" si="107"/>
        <v>7.5440326038403533E-5</v>
      </c>
      <c r="J101" s="377">
        <f t="shared" si="108"/>
        <v>6.3525099626242801E-5</v>
      </c>
      <c r="K101" s="377">
        <f t="shared" si="109"/>
        <v>1.9327723072297356E-6</v>
      </c>
      <c r="M101" s="41"/>
      <c r="N101" s="4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46"/>
      <c r="AN101" s="50"/>
      <c r="AO101" s="50"/>
      <c r="AP101" s="50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41"/>
    </row>
    <row r="102" spans="3:55" ht="15.45" hidden="1" x14ac:dyDescent="0.3">
      <c r="C102" s="357">
        <v>21</v>
      </c>
      <c r="D102" s="357">
        <v>3</v>
      </c>
      <c r="E102" s="357">
        <v>0</v>
      </c>
      <c r="F102" s="374">
        <v>-2.8270797985312E-6</v>
      </c>
      <c r="G102" s="375"/>
      <c r="H102" s="376">
        <f t="shared" si="106"/>
        <v>4.2255248246437864E-4</v>
      </c>
      <c r="I102" s="376">
        <f t="shared" si="107"/>
        <v>4.2397429609631021E-4</v>
      </c>
      <c r="J102" s="377">
        <f t="shared" si="108"/>
        <v>4.2255248246437864E-4</v>
      </c>
      <c r="K102" s="377">
        <f t="shared" si="109"/>
        <v>5.3692020404012674E-5</v>
      </c>
      <c r="M102" s="41"/>
      <c r="N102" s="40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258"/>
      <c r="AN102" s="46"/>
      <c r="AO102" s="46"/>
      <c r="AP102" s="46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3:55" ht="15.45" hidden="1" x14ac:dyDescent="0.3">
      <c r="C103" s="357">
        <v>22</v>
      </c>
      <c r="D103" s="357">
        <v>3</v>
      </c>
      <c r="E103" s="357">
        <v>6</v>
      </c>
      <c r="F103" s="374">
        <v>-8.5205128120103004E-10</v>
      </c>
      <c r="G103" s="375"/>
      <c r="H103" s="376">
        <f t="shared" si="106"/>
        <v>3.4423148260967853E-5</v>
      </c>
      <c r="I103" s="376">
        <f t="shared" si="107"/>
        <v>6.3860822298248741E-5</v>
      </c>
      <c r="J103" s="377">
        <f t="shared" si="108"/>
        <v>8.1954845021277434E-5</v>
      </c>
      <c r="K103" s="377">
        <f t="shared" si="109"/>
        <v>4.2397429609631021E-4</v>
      </c>
      <c r="M103" s="41"/>
      <c r="N103" s="45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258"/>
      <c r="AN103" s="51"/>
      <c r="AO103" s="51"/>
      <c r="AP103" s="5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3:55" ht="15" hidden="1" x14ac:dyDescent="0.3">
      <c r="C104" s="357">
        <v>23</v>
      </c>
      <c r="D104" s="357">
        <v>4</v>
      </c>
      <c r="E104" s="357">
        <v>-5</v>
      </c>
      <c r="F104" s="374">
        <v>-2.2425281907999999E-6</v>
      </c>
      <c r="G104" s="375"/>
      <c r="H104" s="376">
        <f t="shared" si="106"/>
        <v>2.9675270502027248E-5</v>
      </c>
      <c r="I104" s="376">
        <f t="shared" si="107"/>
        <v>1.7870859947547514E-5</v>
      </c>
      <c r="J104" s="377">
        <f t="shared" si="108"/>
        <v>1.4403166509084282E-5</v>
      </c>
      <c r="K104" s="377">
        <f t="shared" si="109"/>
        <v>1.0635923906594898E-4</v>
      </c>
      <c r="M104" s="41"/>
      <c r="N104" s="52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360"/>
      <c r="AN104" s="53"/>
      <c r="AO104" s="53"/>
      <c r="AP104" s="53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3:55" ht="15.45" hidden="1" x14ac:dyDescent="0.4">
      <c r="C105" s="357">
        <v>24</v>
      </c>
      <c r="D105" s="357">
        <v>4</v>
      </c>
      <c r="E105" s="357">
        <v>-2</v>
      </c>
      <c r="F105" s="374">
        <v>-6.5171222895601002E-7</v>
      </c>
      <c r="G105" s="375"/>
      <c r="H105" s="376">
        <f t="shared" si="106"/>
        <v>1.4178613926307097E-4</v>
      </c>
      <c r="I105" s="376">
        <f t="shared" si="107"/>
        <v>1.1610396902256198E-4</v>
      </c>
      <c r="J105" s="377">
        <f t="shared" si="108"/>
        <v>1.0618400336308326E-4</v>
      </c>
      <c r="K105" s="377">
        <f t="shared" si="109"/>
        <v>1.1682295534287337E-5</v>
      </c>
      <c r="M105" s="356"/>
      <c r="N105" s="41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M105" s="360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</row>
    <row r="106" spans="3:55" hidden="1" x14ac:dyDescent="0.3">
      <c r="C106" s="357">
        <v>25</v>
      </c>
      <c r="D106" s="357">
        <v>4</v>
      </c>
      <c r="E106" s="357">
        <v>10</v>
      </c>
      <c r="F106" s="374">
        <v>-1.4341729937923999E-13</v>
      </c>
      <c r="G106" s="375"/>
      <c r="H106" s="376">
        <f t="shared" si="106"/>
        <v>2.2796279531415721E-6</v>
      </c>
      <c r="I106" s="376">
        <f t="shared" si="107"/>
        <v>6.3815673985494293E-6</v>
      </c>
      <c r="J106" s="377">
        <f t="shared" si="108"/>
        <v>9.6769251916594194E-6</v>
      </c>
      <c r="K106" s="377">
        <f t="shared" si="109"/>
        <v>9.7949034925181311E-5</v>
      </c>
      <c r="M106" s="41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8"/>
      <c r="AK106" s="258"/>
      <c r="AL106" s="258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</row>
    <row r="107" spans="3:55" ht="15.45" hidden="1" x14ac:dyDescent="0.4">
      <c r="C107" s="357">
        <v>26</v>
      </c>
      <c r="D107" s="357">
        <v>5</v>
      </c>
      <c r="E107" s="357">
        <v>-8</v>
      </c>
      <c r="F107" s="374">
        <v>-4.0516996860117E-7</v>
      </c>
      <c r="G107" s="375"/>
      <c r="H107" s="376">
        <f t="shared" si="106"/>
        <v>2.8773558266926517E-6</v>
      </c>
      <c r="I107" s="376">
        <f t="shared" si="107"/>
        <v>1.2764718674668421E-6</v>
      </c>
      <c r="J107" s="377">
        <f t="shared" si="108"/>
        <v>9.0509641357682365E-7</v>
      </c>
      <c r="K107" s="377">
        <f t="shared" si="109"/>
        <v>1.4933509606278911E-5</v>
      </c>
      <c r="M107" s="406"/>
      <c r="N107" s="258"/>
      <c r="O107" s="360"/>
      <c r="P107" s="360"/>
      <c r="Q107" s="360"/>
      <c r="R107" s="360"/>
      <c r="S107" s="360"/>
      <c r="T107" s="360"/>
      <c r="U107" s="360"/>
      <c r="V107" s="360"/>
      <c r="W107" s="360"/>
      <c r="X107" s="360"/>
      <c r="Y107" s="360"/>
      <c r="Z107" s="360"/>
      <c r="AA107" s="360"/>
      <c r="AB107" s="360"/>
      <c r="AC107" s="360"/>
      <c r="AD107" s="360"/>
      <c r="AE107" s="360"/>
      <c r="AF107" s="360"/>
      <c r="AG107" s="360"/>
      <c r="AH107" s="360"/>
      <c r="AI107" s="360"/>
      <c r="AJ107" s="360"/>
      <c r="AK107" s="360"/>
      <c r="AL107" s="360"/>
      <c r="AM107" s="334"/>
      <c r="AN107" s="41"/>
      <c r="AO107" s="41"/>
      <c r="AP107" s="41"/>
      <c r="AQ107" s="383"/>
      <c r="AR107" s="383"/>
      <c r="AS107" s="383"/>
      <c r="AT107" s="383"/>
      <c r="AU107" s="383"/>
      <c r="AV107" s="41"/>
      <c r="AW107" s="41"/>
      <c r="AX107" s="41"/>
      <c r="AY107" s="41"/>
      <c r="AZ107" s="41"/>
      <c r="BA107" s="41"/>
      <c r="BB107" s="41"/>
      <c r="BC107" s="41"/>
    </row>
    <row r="108" spans="3:55" ht="15.45" hidden="1" x14ac:dyDescent="0.4">
      <c r="C108" s="357">
        <v>27</v>
      </c>
      <c r="D108" s="357">
        <v>8</v>
      </c>
      <c r="E108" s="357">
        <v>-11</v>
      </c>
      <c r="F108" s="374">
        <v>-1.2734301741640999E-9</v>
      </c>
      <c r="G108" s="375"/>
      <c r="H108" s="376">
        <f t="shared" si="106"/>
        <v>3.095011840610054E-7</v>
      </c>
      <c r="I108" s="376">
        <f t="shared" si="107"/>
        <v>1.0148591499429698E-7</v>
      </c>
      <c r="J108" s="377">
        <f t="shared" si="108"/>
        <v>6.3095961650026744E-8</v>
      </c>
      <c r="K108" s="377">
        <f t="shared" si="109"/>
        <v>6.4658202564504322E-7</v>
      </c>
      <c r="M108" s="406"/>
      <c r="N108" s="258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0"/>
      <c r="Z108" s="360"/>
      <c r="AA108" s="360"/>
      <c r="AB108" s="360"/>
      <c r="AC108" s="360"/>
      <c r="AD108" s="360"/>
      <c r="AE108" s="360"/>
      <c r="AF108" s="360"/>
      <c r="AG108" s="360"/>
      <c r="AH108" s="360"/>
      <c r="AI108" s="360"/>
      <c r="AJ108" s="360"/>
      <c r="AK108" s="360"/>
      <c r="AL108" s="360"/>
      <c r="AM108" s="334"/>
      <c r="AN108" s="41"/>
      <c r="AO108" s="41"/>
      <c r="AP108" s="41"/>
      <c r="AQ108" s="393"/>
      <c r="AR108" s="393"/>
      <c r="AS108" s="41"/>
      <c r="AT108" s="393"/>
      <c r="AU108" s="393"/>
      <c r="AV108" s="41"/>
      <c r="AW108" s="41"/>
      <c r="AX108" s="41"/>
      <c r="AY108" s="41"/>
      <c r="AZ108" s="41"/>
      <c r="BA108" s="41"/>
      <c r="BB108" s="41"/>
      <c r="BC108" s="41"/>
    </row>
    <row r="109" spans="3:55" ht="15.45" hidden="1" x14ac:dyDescent="0.3">
      <c r="C109" s="357">
        <v>28</v>
      </c>
      <c r="D109" s="357">
        <v>8</v>
      </c>
      <c r="E109" s="357">
        <v>-6</v>
      </c>
      <c r="F109" s="374">
        <v>-1.7424871230634001E-10</v>
      </c>
      <c r="G109" s="375"/>
      <c r="H109" s="376">
        <f t="shared" si="106"/>
        <v>4.5018598986770165E-6</v>
      </c>
      <c r="I109" s="376">
        <f t="shared" si="107"/>
        <v>2.4636157546215822E-6</v>
      </c>
      <c r="J109" s="377">
        <f t="shared" si="108"/>
        <v>1.8908972459411184E-6</v>
      </c>
      <c r="K109" s="377">
        <f t="shared" si="109"/>
        <v>3.9833438195077032E-8</v>
      </c>
      <c r="M109" s="41"/>
      <c r="N109" s="407"/>
      <c r="O109" s="41"/>
      <c r="P109" s="363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334"/>
      <c r="AN109" s="41"/>
      <c r="AO109" s="41"/>
      <c r="AP109" s="41"/>
      <c r="AQ109" s="392"/>
      <c r="AR109" s="394"/>
      <c r="AS109" s="41"/>
      <c r="AT109" s="394"/>
      <c r="AU109" s="394"/>
      <c r="AV109" s="41"/>
      <c r="AW109" s="41"/>
      <c r="AX109" s="41"/>
      <c r="AY109" s="41"/>
      <c r="AZ109" s="41"/>
      <c r="BA109" s="41"/>
      <c r="BB109" s="41"/>
      <c r="BC109" s="41"/>
    </row>
    <row r="110" spans="3:55" ht="15" hidden="1" x14ac:dyDescent="0.35">
      <c r="C110" s="357">
        <v>29</v>
      </c>
      <c r="D110" s="357">
        <v>21</v>
      </c>
      <c r="E110" s="357">
        <v>-29</v>
      </c>
      <c r="F110" s="374">
        <v>-6.8762131295530996E-19</v>
      </c>
      <c r="G110" s="375"/>
      <c r="H110" s="376">
        <f t="shared" si="106"/>
        <v>2.3981575229833827E-12</v>
      </c>
      <c r="I110" s="376">
        <f t="shared" si="107"/>
        <v>1.2715360397456955E-13</v>
      </c>
      <c r="J110" s="377">
        <f t="shared" si="108"/>
        <v>3.6228038229467218E-14</v>
      </c>
      <c r="K110" s="377">
        <f t="shared" si="109"/>
        <v>1.4792182540860593E-6</v>
      </c>
      <c r="M110" s="408"/>
      <c r="N110" s="258"/>
      <c r="O110" s="334"/>
      <c r="P110" s="334"/>
      <c r="Q110" s="405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  <c r="AH110" s="334"/>
      <c r="AI110" s="334"/>
      <c r="AJ110" s="334"/>
      <c r="AK110" s="334"/>
      <c r="AL110" s="334"/>
      <c r="AM110" s="334"/>
      <c r="AN110" s="41"/>
      <c r="AO110" s="41"/>
      <c r="AP110" s="41"/>
      <c r="AQ110" s="316"/>
      <c r="AR110" s="338"/>
      <c r="AS110" s="41"/>
      <c r="AT110" s="316"/>
      <c r="AU110" s="338"/>
      <c r="AV110" s="41"/>
      <c r="AW110" s="41"/>
      <c r="AX110" s="41"/>
      <c r="AY110" s="41"/>
      <c r="AZ110" s="41"/>
      <c r="BA110" s="41"/>
      <c r="BB110" s="41"/>
      <c r="BC110" s="41"/>
    </row>
    <row r="111" spans="3:55" ht="15" hidden="1" x14ac:dyDescent="0.3">
      <c r="C111" s="357">
        <v>30</v>
      </c>
      <c r="D111" s="357">
        <v>23</v>
      </c>
      <c r="E111" s="357">
        <v>-31</v>
      </c>
      <c r="F111" s="374">
        <v>1.4478307828521001E-20</v>
      </c>
      <c r="G111" s="375"/>
      <c r="H111" s="376">
        <f t="shared" si="106"/>
        <v>-4.2614948915190282E-13</v>
      </c>
      <c r="I111" s="376">
        <f t="shared" si="107"/>
        <v>-1.8471271592683196E-14</v>
      </c>
      <c r="J111" s="377">
        <f t="shared" si="108"/>
        <v>-4.8211917107632784E-15</v>
      </c>
      <c r="K111" s="377">
        <f t="shared" si="109"/>
        <v>1.0803103845073455E-14</v>
      </c>
      <c r="M111" s="408"/>
      <c r="N111" s="258"/>
      <c r="O111" s="334"/>
      <c r="P111" s="334"/>
      <c r="Q111" s="405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  <c r="AH111" s="334"/>
      <c r="AI111" s="334"/>
      <c r="AJ111" s="334"/>
      <c r="AK111" s="334"/>
      <c r="AL111" s="334"/>
      <c r="AM111" s="334"/>
      <c r="AN111" s="41"/>
      <c r="AO111" s="41"/>
      <c r="AP111" s="41"/>
      <c r="AQ111" s="9"/>
      <c r="AR111" s="9"/>
      <c r="AS111" s="41"/>
      <c r="AT111" s="9"/>
      <c r="AU111" s="9"/>
      <c r="AV111" s="41"/>
      <c r="AW111" s="41"/>
      <c r="AX111" s="41"/>
      <c r="AY111" s="41"/>
      <c r="AZ111" s="41"/>
      <c r="BA111" s="41"/>
      <c r="BB111" s="41"/>
      <c r="BC111" s="41"/>
    </row>
    <row r="112" spans="3:55" ht="15" hidden="1" x14ac:dyDescent="0.3">
      <c r="C112" s="357">
        <v>31</v>
      </c>
      <c r="D112" s="357">
        <v>29</v>
      </c>
      <c r="E112" s="357">
        <v>-38</v>
      </c>
      <c r="F112" s="374">
        <v>2.6335781662795E-23</v>
      </c>
      <c r="G112" s="375"/>
      <c r="H112" s="376">
        <f t="shared" si="106"/>
        <v>-1.7586330892797677E-13</v>
      </c>
      <c r="I112" s="376">
        <f t="shared" si="107"/>
        <v>-3.7590154980877989E-15</v>
      </c>
      <c r="J112" s="377">
        <f t="shared" si="108"/>
        <v>-7.2319644451347275E-16</v>
      </c>
      <c r="K112" s="377">
        <f t="shared" si="109"/>
        <v>-1.3239444568800076E-15</v>
      </c>
      <c r="M112" s="408"/>
      <c r="N112" s="258"/>
      <c r="O112" s="334"/>
      <c r="P112" s="334"/>
      <c r="Q112" s="405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  <c r="AH112" s="334"/>
      <c r="AI112" s="334"/>
      <c r="AJ112" s="334"/>
      <c r="AK112" s="334"/>
      <c r="AL112" s="334"/>
      <c r="AM112" s="334"/>
      <c r="AN112" s="41"/>
      <c r="AO112" s="41"/>
      <c r="AP112" s="41"/>
      <c r="AQ112" s="41"/>
      <c r="AR112" s="41"/>
      <c r="AS112" s="41"/>
      <c r="AT112" s="10"/>
      <c r="AU112" s="10"/>
      <c r="AV112" s="41"/>
      <c r="AW112" s="41"/>
      <c r="AX112" s="41"/>
      <c r="AY112" s="41"/>
      <c r="AZ112" s="41"/>
      <c r="BA112" s="41"/>
      <c r="BB112" s="41"/>
      <c r="BC112" s="41"/>
    </row>
    <row r="113" spans="3:55" ht="15" hidden="1" x14ac:dyDescent="0.3">
      <c r="C113" s="357">
        <v>32</v>
      </c>
      <c r="D113" s="357">
        <v>30</v>
      </c>
      <c r="E113" s="357">
        <v>-39</v>
      </c>
      <c r="F113" s="374">
        <v>-1.1947622640071E-23</v>
      </c>
      <c r="G113" s="375"/>
      <c r="H113" s="376">
        <f t="shared" si="106"/>
        <v>2.2910649702371052E-13</v>
      </c>
      <c r="I113" s="376">
        <f t="shared" si="107"/>
        <v>4.427700210861992E-15</v>
      </c>
      <c r="J113" s="377">
        <f t="shared" si="108"/>
        <v>8.1532565149141616E-16</v>
      </c>
      <c r="K113" s="377">
        <f t="shared" si="109"/>
        <v>-1.4858772050033895E-16</v>
      </c>
      <c r="M113" s="408"/>
      <c r="N113" s="258"/>
      <c r="O113" s="334"/>
      <c r="P113" s="334"/>
      <c r="Q113" s="405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  <c r="AH113" s="334"/>
      <c r="AI113" s="334"/>
      <c r="AJ113" s="334"/>
      <c r="AK113" s="334"/>
      <c r="AL113" s="334"/>
      <c r="AM113" s="334"/>
      <c r="AN113" s="41"/>
      <c r="AO113" s="41"/>
      <c r="AP113" s="41"/>
      <c r="AQ113" s="10"/>
      <c r="AR113" s="10"/>
      <c r="AS113" s="41"/>
      <c r="AT113" s="10"/>
      <c r="AU113" s="10"/>
      <c r="AV113" s="41"/>
      <c r="AW113" s="41"/>
      <c r="AX113" s="41"/>
      <c r="AY113" s="41"/>
      <c r="AZ113" s="41"/>
      <c r="BA113" s="41"/>
      <c r="BB113" s="41"/>
      <c r="BC113" s="41"/>
    </row>
    <row r="114" spans="3:55" ht="15" hidden="1" x14ac:dyDescent="0.3">
      <c r="C114" s="357">
        <v>33</v>
      </c>
      <c r="D114" s="357">
        <v>31</v>
      </c>
      <c r="E114" s="357">
        <v>-40</v>
      </c>
      <c r="F114" s="374">
        <v>1.8228094581404E-24</v>
      </c>
      <c r="G114" s="375"/>
      <c r="H114" s="376">
        <f t="shared" si="106"/>
        <v>-1.0026312678686659E-13</v>
      </c>
      <c r="I114" s="376">
        <f t="shared" si="107"/>
        <v>-1.7519591450029639E-15</v>
      </c>
      <c r="J114" s="377">
        <f t="shared" si="108"/>
        <v>-3.0877889190295059E-16</v>
      </c>
      <c r="K114" s="377">
        <f t="shared" si="109"/>
        <v>1.6075465567446757E-16</v>
      </c>
      <c r="M114" s="408"/>
      <c r="N114" s="258"/>
      <c r="O114" s="334"/>
      <c r="P114" s="334"/>
      <c r="Q114" s="405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  <c r="AI114" s="334"/>
      <c r="AJ114" s="334"/>
      <c r="AK114" s="334"/>
      <c r="AL114" s="334"/>
      <c r="AM114" s="334"/>
      <c r="AN114" s="41"/>
      <c r="AO114" s="41"/>
      <c r="AP114" s="41"/>
      <c r="AQ114" s="41"/>
      <c r="AR114" s="41"/>
      <c r="AS114" s="41"/>
      <c r="AT114" s="10"/>
      <c r="AU114" s="10"/>
      <c r="AV114" s="41"/>
      <c r="AW114" s="41"/>
      <c r="AX114" s="41"/>
      <c r="AY114" s="41"/>
      <c r="AZ114" s="41"/>
      <c r="BA114" s="41"/>
      <c r="BB114" s="41"/>
      <c r="BC114" s="41"/>
    </row>
    <row r="115" spans="3:55" ht="15" hidden="1" x14ac:dyDescent="0.3">
      <c r="C115" s="357">
        <v>34</v>
      </c>
      <c r="D115" s="357">
        <v>32</v>
      </c>
      <c r="E115" s="357">
        <v>-41</v>
      </c>
      <c r="F115" s="374">
        <v>-9.3537087292457998E-26</v>
      </c>
      <c r="G115" s="375"/>
      <c r="H115" s="376">
        <f t="shared" si="106"/>
        <v>1.4742655638215692E-14</v>
      </c>
      <c r="I115" s="376">
        <f t="shared" si="107"/>
        <v>2.3291656597313538E-16</v>
      </c>
      <c r="J115" s="377">
        <f t="shared" si="108"/>
        <v>3.9291150011953692E-17</v>
      </c>
      <c r="K115" s="377">
        <f t="shared" si="109"/>
        <v>-5.8423271626390324E-17</v>
      </c>
      <c r="M115" s="408"/>
      <c r="N115" s="258"/>
      <c r="O115" s="334"/>
      <c r="P115" s="334"/>
      <c r="Q115" s="405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4"/>
      <c r="AL115" s="334"/>
      <c r="AM115" s="334"/>
      <c r="AN115" s="41"/>
      <c r="AO115" s="41"/>
      <c r="AP115" s="41"/>
      <c r="AQ115" s="10"/>
      <c r="AR115" s="10"/>
      <c r="AS115" s="41"/>
      <c r="AT115" s="10"/>
      <c r="AU115" s="10"/>
      <c r="AV115" s="41"/>
      <c r="AW115" s="41"/>
      <c r="AX115" s="41"/>
      <c r="AY115" s="41"/>
      <c r="AZ115" s="41"/>
      <c r="BA115" s="41"/>
      <c r="BB115" s="41"/>
      <c r="BC115" s="41"/>
    </row>
    <row r="116" spans="3:55" ht="15" hidden="1" x14ac:dyDescent="0.3">
      <c r="C116" s="375"/>
      <c r="D116" s="375"/>
      <c r="E116" s="378" t="s">
        <v>151</v>
      </c>
      <c r="F116" s="6">
        <v>0.46152599999999999</v>
      </c>
      <c r="G116" s="375"/>
      <c r="H116" s="379">
        <f>SUM(H90:H115)</f>
        <v>0.10111186543256272</v>
      </c>
      <c r="I116" s="379">
        <f>SUM(I90:I115)</f>
        <v>0.10672737641380697</v>
      </c>
      <c r="J116" s="380">
        <f>SUM(J90:J115)</f>
        <v>0.10931448488393289</v>
      </c>
      <c r="K116" s="377">
        <f t="shared" si="109"/>
        <v>7.1340939570070201E-18</v>
      </c>
      <c r="M116" s="408"/>
      <c r="N116" s="258"/>
      <c r="O116" s="334"/>
      <c r="P116" s="334"/>
      <c r="Q116" s="405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  <c r="AH116" s="334"/>
      <c r="AI116" s="334"/>
      <c r="AJ116" s="334"/>
      <c r="AK116" s="334"/>
      <c r="AL116" s="334"/>
      <c r="AM116" s="334"/>
      <c r="AN116" s="41"/>
      <c r="AO116" s="41"/>
      <c r="AP116" s="41"/>
      <c r="AQ116" s="10"/>
      <c r="AR116" s="10"/>
      <c r="AS116" s="41"/>
      <c r="AT116" s="10"/>
      <c r="AU116" s="10"/>
      <c r="AV116" s="41"/>
      <c r="AW116" s="41"/>
      <c r="AX116" s="41"/>
      <c r="AY116" s="41"/>
      <c r="AZ116" s="41"/>
      <c r="BA116" s="41"/>
      <c r="BB116" s="41"/>
      <c r="BC116" s="41"/>
    </row>
    <row r="117" spans="3:55" ht="15" hidden="1" x14ac:dyDescent="0.3">
      <c r="K117" s="380">
        <f>SUM(K91:K116)</f>
        <v>0.11215544843351506</v>
      </c>
      <c r="M117" s="408"/>
      <c r="N117" s="258"/>
      <c r="O117" s="334"/>
      <c r="P117" s="334"/>
      <c r="Q117" s="405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4"/>
      <c r="AC117" s="334"/>
      <c r="AD117" s="334"/>
      <c r="AE117" s="334"/>
      <c r="AF117" s="334"/>
      <c r="AG117" s="334"/>
      <c r="AH117" s="334"/>
      <c r="AI117" s="334"/>
      <c r="AJ117" s="334"/>
      <c r="AK117" s="334"/>
      <c r="AL117" s="334"/>
      <c r="AM117" s="334"/>
      <c r="AN117" s="41"/>
      <c r="AO117" s="41"/>
      <c r="AP117" s="41"/>
      <c r="AQ117" s="10"/>
      <c r="AR117" s="10"/>
      <c r="AS117" s="41"/>
      <c r="AT117" s="10"/>
      <c r="AU117" s="10"/>
      <c r="AV117" s="41"/>
      <c r="AW117" s="41"/>
      <c r="AX117" s="41"/>
      <c r="AY117" s="41"/>
      <c r="AZ117" s="41"/>
      <c r="BA117" s="41"/>
      <c r="BB117" s="41"/>
      <c r="BC117" s="41"/>
    </row>
    <row r="118" spans="3:55" hidden="1" x14ac:dyDescent="0.3">
      <c r="M118" s="408"/>
      <c r="N118" s="258"/>
      <c r="O118" s="334"/>
      <c r="P118" s="334"/>
      <c r="Q118" s="405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  <c r="AB118" s="334"/>
      <c r="AC118" s="334"/>
      <c r="AD118" s="334"/>
      <c r="AE118" s="334"/>
      <c r="AF118" s="334"/>
      <c r="AG118" s="334"/>
      <c r="AH118" s="334"/>
      <c r="AI118" s="334"/>
      <c r="AJ118" s="334"/>
      <c r="AK118" s="334"/>
      <c r="AL118" s="334"/>
      <c r="AM118" s="334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3:55" hidden="1" x14ac:dyDescent="0.3">
      <c r="M119" s="408"/>
      <c r="N119" s="258"/>
      <c r="O119" s="334"/>
      <c r="P119" s="334"/>
      <c r="Q119" s="405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4"/>
      <c r="AH119" s="334"/>
      <c r="AI119" s="334"/>
      <c r="AJ119" s="334"/>
      <c r="AK119" s="334"/>
      <c r="AL119" s="334"/>
      <c r="AM119" s="334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3:55" hidden="1" x14ac:dyDescent="0.3">
      <c r="M120" s="408"/>
      <c r="N120" s="258"/>
      <c r="O120" s="334"/>
      <c r="P120" s="334"/>
      <c r="Q120" s="405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  <c r="AH120" s="334"/>
      <c r="AI120" s="334"/>
      <c r="AJ120" s="334"/>
      <c r="AK120" s="334"/>
      <c r="AL120" s="334"/>
      <c r="AM120" s="334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</row>
    <row r="121" spans="3:55" hidden="1" x14ac:dyDescent="0.3">
      <c r="M121" s="408"/>
      <c r="N121" s="258"/>
      <c r="O121" s="334"/>
      <c r="P121" s="334"/>
      <c r="Q121" s="405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334"/>
      <c r="AG121" s="334"/>
      <c r="AH121" s="334"/>
      <c r="AI121" s="334"/>
      <c r="AJ121" s="334"/>
      <c r="AK121" s="334"/>
      <c r="AL121" s="334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</row>
    <row r="122" spans="3:55" hidden="1" x14ac:dyDescent="0.3">
      <c r="M122" s="408"/>
      <c r="N122" s="258"/>
      <c r="O122" s="334"/>
      <c r="P122" s="334"/>
      <c r="Q122" s="405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4"/>
      <c r="AE122" s="334"/>
      <c r="AF122" s="334"/>
      <c r="AG122" s="334"/>
      <c r="AH122" s="334"/>
      <c r="AI122" s="334"/>
      <c r="AJ122" s="334"/>
      <c r="AK122" s="334"/>
      <c r="AL122" s="334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</row>
    <row r="123" spans="3:55" hidden="1" x14ac:dyDescent="0.3">
      <c r="M123" s="350"/>
      <c r="N123" s="351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  <c r="AH123" s="334"/>
      <c r="AI123" s="334"/>
      <c r="AJ123" s="334"/>
      <c r="AK123" s="334"/>
      <c r="AL123" s="334"/>
      <c r="AM123" s="349"/>
      <c r="AN123" s="41"/>
      <c r="AO123" s="41"/>
      <c r="AP123" s="41"/>
      <c r="AQ123" s="349"/>
      <c r="AR123" s="349"/>
      <c r="AS123" s="258"/>
      <c r="AT123" s="258"/>
      <c r="AU123" s="258"/>
      <c r="AV123" s="258"/>
      <c r="AW123" s="349"/>
      <c r="AX123" s="349"/>
      <c r="AY123" s="258"/>
      <c r="AZ123" s="258"/>
      <c r="BA123" s="258"/>
      <c r="BB123" s="258"/>
      <c r="BC123" s="349"/>
    </row>
    <row r="124" spans="3:55" ht="15" hidden="1" x14ac:dyDescent="0.3">
      <c r="M124" s="259"/>
      <c r="N124" s="345"/>
      <c r="O124" s="258"/>
      <c r="P124" s="41"/>
      <c r="Q124" s="41"/>
      <c r="R124" s="41"/>
      <c r="S124" s="41"/>
      <c r="T124" s="41"/>
      <c r="U124" s="258"/>
      <c r="V124" s="41"/>
      <c r="W124" s="41"/>
      <c r="X124" s="41"/>
      <c r="Y124" s="41"/>
      <c r="Z124" s="41"/>
      <c r="AA124" s="258"/>
      <c r="AB124" s="41"/>
      <c r="AC124" s="41"/>
      <c r="AD124" s="41"/>
      <c r="AE124" s="41"/>
      <c r="AF124" s="41"/>
      <c r="AG124" s="258"/>
      <c r="AH124" s="41"/>
      <c r="AI124" s="41"/>
      <c r="AJ124" s="41"/>
      <c r="AK124" s="41"/>
      <c r="AL124" s="41"/>
      <c r="AM124" s="46"/>
      <c r="AN124" s="41"/>
      <c r="AO124" s="41"/>
      <c r="AP124" s="41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</row>
    <row r="125" spans="3:55" ht="15" hidden="1" x14ac:dyDescent="0.3">
      <c r="M125" s="346"/>
      <c r="N125" s="345"/>
      <c r="O125" s="258"/>
      <c r="P125" s="41"/>
      <c r="Q125" s="41"/>
      <c r="R125" s="41"/>
      <c r="S125" s="41"/>
      <c r="T125" s="41"/>
      <c r="U125" s="258"/>
      <c r="V125" s="41"/>
      <c r="W125" s="41"/>
      <c r="X125" s="41"/>
      <c r="Y125" s="41"/>
      <c r="Z125" s="41"/>
      <c r="AA125" s="258"/>
      <c r="AB125" s="41"/>
      <c r="AC125" s="41"/>
      <c r="AD125" s="41"/>
      <c r="AE125" s="41"/>
      <c r="AF125" s="41"/>
      <c r="AG125" s="258"/>
      <c r="AH125" s="41"/>
      <c r="AI125" s="41"/>
      <c r="AJ125" s="41"/>
      <c r="AK125" s="41"/>
      <c r="AL125" s="41"/>
      <c r="AM125" s="45"/>
      <c r="AN125" s="41"/>
      <c r="AO125" s="41"/>
      <c r="AP125" s="41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</row>
    <row r="126" spans="3:55" ht="15" hidden="1" x14ac:dyDescent="0.3">
      <c r="M126" s="41"/>
      <c r="N126" s="34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349"/>
      <c r="Z126" s="349"/>
      <c r="AA126" s="349"/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45"/>
      <c r="AN126" s="258"/>
      <c r="AO126" s="258"/>
      <c r="AP126" s="349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</row>
    <row r="127" spans="3:55" ht="15" hidden="1" x14ac:dyDescent="0.3">
      <c r="M127" s="350"/>
      <c r="N127" s="45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8"/>
      <c r="AN127" s="46"/>
      <c r="AO127" s="46"/>
      <c r="AP127" s="46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</row>
    <row r="128" spans="3:55" ht="15" hidden="1" x14ac:dyDescent="0.3">
      <c r="M128" s="351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9"/>
      <c r="AN128" s="45"/>
      <c r="AO128" s="45"/>
      <c r="AP128" s="45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</row>
    <row r="129" spans="13:55" ht="15" hidden="1" x14ac:dyDescent="0.3">
      <c r="M129" s="351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6"/>
      <c r="AN129" s="45"/>
      <c r="AO129" s="45"/>
      <c r="AP129" s="45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</row>
    <row r="130" spans="13:55" ht="15.45" hidden="1" x14ac:dyDescent="0.3">
      <c r="M130" s="351"/>
      <c r="N130" s="47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6"/>
      <c r="AN130" s="48"/>
      <c r="AO130" s="48"/>
      <c r="AP130" s="48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</row>
    <row r="131" spans="13:55" ht="15" hidden="1" x14ac:dyDescent="0.3">
      <c r="M131" s="350"/>
      <c r="N131" s="45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50"/>
      <c r="AN131" s="49"/>
      <c r="AO131" s="49"/>
      <c r="AP131" s="49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</row>
    <row r="132" spans="13:55" ht="15" hidden="1" x14ac:dyDescent="0.3">
      <c r="M132" s="258"/>
      <c r="N132" s="45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</row>
    <row r="133" spans="13:55" ht="15.45" hidden="1" x14ac:dyDescent="0.3">
      <c r="M133" s="353"/>
      <c r="N133" s="47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51"/>
      <c r="AN133" s="46"/>
      <c r="AO133" s="46"/>
      <c r="AP133" s="46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</row>
    <row r="134" spans="13:55" ht="15.45" hidden="1" x14ac:dyDescent="0.3">
      <c r="M134" s="41"/>
      <c r="N134" s="4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3"/>
      <c r="AN134" s="50"/>
      <c r="AO134" s="50"/>
      <c r="AP134" s="50"/>
    </row>
    <row r="135" spans="13:55" ht="15.45" hidden="1" x14ac:dyDescent="0.3">
      <c r="M135" s="41"/>
      <c r="N135" s="40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258"/>
      <c r="AN135" s="46"/>
      <c r="AO135" s="46"/>
      <c r="AP135" s="46"/>
    </row>
    <row r="136" spans="13:55" ht="15.45" hidden="1" x14ac:dyDescent="0.3">
      <c r="M136" s="41"/>
      <c r="N136" s="45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258"/>
      <c r="AN136" s="51"/>
      <c r="AO136" s="51"/>
      <c r="AP136" s="51"/>
    </row>
    <row r="137" spans="13:55" hidden="1" x14ac:dyDescent="0.3">
      <c r="AM137" s="360"/>
    </row>
    <row r="138" spans="13:55" x14ac:dyDescent="0.3">
      <c r="AM138" s="360"/>
    </row>
    <row r="139" spans="13:55" x14ac:dyDescent="0.3">
      <c r="AM139" s="41"/>
    </row>
    <row r="140" spans="13:55" x14ac:dyDescent="0.3">
      <c r="AM140" s="334"/>
    </row>
    <row r="141" spans="13:55" x14ac:dyDescent="0.3">
      <c r="AM141" s="334"/>
    </row>
    <row r="142" spans="13:55" x14ac:dyDescent="0.3">
      <c r="AM142" s="334"/>
    </row>
    <row r="143" spans="13:55" x14ac:dyDescent="0.3">
      <c r="AM143" s="334"/>
    </row>
    <row r="144" spans="13:55" x14ac:dyDescent="0.3">
      <c r="AM144" s="334"/>
    </row>
    <row r="145" spans="39:39" x14ac:dyDescent="0.3">
      <c r="AM145" s="334"/>
    </row>
    <row r="146" spans="39:39" x14ac:dyDescent="0.3">
      <c r="AM146" s="334"/>
    </row>
    <row r="147" spans="39:39" x14ac:dyDescent="0.3">
      <c r="AM147" s="334"/>
    </row>
    <row r="148" spans="39:39" x14ac:dyDescent="0.3">
      <c r="AM148" s="334"/>
    </row>
    <row r="149" spans="39:39" x14ac:dyDescent="0.3">
      <c r="AM149" s="334"/>
    </row>
    <row r="150" spans="39:39" x14ac:dyDescent="0.3">
      <c r="AM150" s="334"/>
    </row>
    <row r="151" spans="39:39" x14ac:dyDescent="0.3">
      <c r="AM151" s="334"/>
    </row>
    <row r="152" spans="39:39" x14ac:dyDescent="0.3">
      <c r="AM152" s="334"/>
    </row>
    <row r="153" spans="39:39" x14ac:dyDescent="0.3">
      <c r="AM153" s="334"/>
    </row>
    <row r="154" spans="39:39" x14ac:dyDescent="0.3">
      <c r="AM154" s="41"/>
    </row>
    <row r="155" spans="39:39" x14ac:dyDescent="0.3">
      <c r="AM155" s="41"/>
    </row>
    <row r="156" spans="39:39" x14ac:dyDescent="0.3">
      <c r="AM156" s="349"/>
    </row>
    <row r="157" spans="39:39" ht="15" x14ac:dyDescent="0.3">
      <c r="AM157" s="46"/>
    </row>
    <row r="158" spans="39:39" ht="15" x14ac:dyDescent="0.3">
      <c r="AM158" s="45"/>
    </row>
    <row r="159" spans="39:39" ht="15" x14ac:dyDescent="0.3">
      <c r="AM159" s="45"/>
    </row>
    <row r="160" spans="39:39" ht="15" x14ac:dyDescent="0.3">
      <c r="AM160" s="48"/>
    </row>
    <row r="161" spans="39:39" ht="15" x14ac:dyDescent="0.3">
      <c r="AM161" s="49"/>
    </row>
    <row r="162" spans="39:39" ht="15" x14ac:dyDescent="0.3">
      <c r="AM162" s="46"/>
    </row>
    <row r="163" spans="39:39" ht="15" x14ac:dyDescent="0.3">
      <c r="AM163" s="46"/>
    </row>
    <row r="164" spans="39:39" ht="15" x14ac:dyDescent="0.3">
      <c r="AM164" s="50"/>
    </row>
    <row r="165" spans="39:39" ht="15" x14ac:dyDescent="0.3">
      <c r="AM165" s="46"/>
    </row>
    <row r="166" spans="39:39" ht="15.45" x14ac:dyDescent="0.3">
      <c r="AM166" s="51"/>
    </row>
  </sheetData>
  <sheetProtection algorithmName="SHA-512" hashValue="OiuWDunXipa8ozwr4Z6z0nw47GVOCwl0dSx5ooGl3K6XhLV8IuhyMs8oLTSM5NWLmykq76bMmvSczqVyrIvfUg==" saltValue="/ozh6eQUXXMtS1dqOBM1MA==" spinCount="100000" sheet="1" objects="1" scenarios="1"/>
  <customSheetViews>
    <customSheetView guid="{AAE00E0F-58A4-431B-A945-2FAABDFF301E}" scale="70" showGridLines="0" hiddenRows="1" hiddenColumns="1">
      <selection activeCell="I22" sqref="I22"/>
      <pageMargins left="0.75" right="0.75" top="1" bottom="1" header="0.5" footer="0.5"/>
      <pageSetup paperSize="9" orientation="portrait" r:id="rId1"/>
      <headerFooter alignWithMargins="0"/>
    </customSheetView>
  </customSheetViews>
  <mergeCells count="41">
    <mergeCell ref="B38:C38"/>
    <mergeCell ref="D31:E31"/>
    <mergeCell ref="AG1:AH1"/>
    <mergeCell ref="Z2:AA2"/>
    <mergeCell ref="B2:E2"/>
    <mergeCell ref="D32:E32"/>
    <mergeCell ref="D30:E30"/>
    <mergeCell ref="G30:H30"/>
    <mergeCell ref="G31:H31"/>
    <mergeCell ref="B29:D29"/>
    <mergeCell ref="C4:E4"/>
    <mergeCell ref="G32:H32"/>
    <mergeCell ref="C5:E5"/>
    <mergeCell ref="C6:E6"/>
    <mergeCell ref="B27:E27"/>
    <mergeCell ref="F27:H27"/>
    <mergeCell ref="AQ43:AR43"/>
    <mergeCell ref="AG2:AI2"/>
    <mergeCell ref="AK2:AM2"/>
    <mergeCell ref="AQ2:AR2"/>
    <mergeCell ref="Z15:AA15"/>
    <mergeCell ref="AG15:AI15"/>
    <mergeCell ref="AK15:AM15"/>
    <mergeCell ref="AQ15:AR15"/>
    <mergeCell ref="AQ30:AR30"/>
    <mergeCell ref="B43:D43"/>
    <mergeCell ref="Z30:AA30"/>
    <mergeCell ref="AG30:AI30"/>
    <mergeCell ref="AK30:AM30"/>
    <mergeCell ref="B41:C41"/>
    <mergeCell ref="B35:C35"/>
    <mergeCell ref="Z43:AA43"/>
    <mergeCell ref="AG43:AI43"/>
    <mergeCell ref="AK43:AM43"/>
    <mergeCell ref="B39:C39"/>
    <mergeCell ref="B40:C40"/>
    <mergeCell ref="B31:C31"/>
    <mergeCell ref="B32:C32"/>
    <mergeCell ref="B33:C33"/>
    <mergeCell ref="B34:C34"/>
    <mergeCell ref="B37:D37"/>
  </mergeCells>
  <phoneticPr fontId="2" type="noConversion"/>
  <conditionalFormatting sqref="AK4:AM13 AK17:AM27 AO27:AP27">
    <cfRule type="cellIs" dxfId="17" priority="17" stopIfTrue="1" operator="equal">
      <formula>TRUE</formula>
    </cfRule>
  </conditionalFormatting>
  <conditionalFormatting sqref="AK32:AM41">
    <cfRule type="cellIs" dxfId="16" priority="14" stopIfTrue="1" operator="equal">
      <formula>TRUE</formula>
    </cfRule>
  </conditionalFormatting>
  <conditionalFormatting sqref="AK45:AM54">
    <cfRule type="cellIs" dxfId="15" priority="12" stopIfTrue="1" operator="equal">
      <formula>TRUE</formula>
    </cfRule>
  </conditionalFormatting>
  <conditionalFormatting sqref="D52:E52">
    <cfRule type="cellIs" dxfId="14" priority="11" stopIfTrue="1" operator="greaterThan">
      <formula>3</formula>
    </cfRule>
  </conditionalFormatting>
  <conditionalFormatting sqref="H52">
    <cfRule type="cellIs" dxfId="13" priority="10" stopIfTrue="1" operator="greaterThan">
      <formula>3</formula>
    </cfRule>
  </conditionalFormatting>
  <conditionalFormatting sqref="G52">
    <cfRule type="cellIs" dxfId="12" priority="9" stopIfTrue="1" operator="greaterThan">
      <formula>3</formula>
    </cfRule>
  </conditionalFormatting>
  <conditionalFormatting sqref="AO17:AP26">
    <cfRule type="cellIs" dxfId="11" priority="3" stopIfTrue="1" operator="equal">
      <formula>TRUE</formula>
    </cfRule>
  </conditionalFormatting>
  <conditionalFormatting sqref="AO4:AP13">
    <cfRule type="cellIs" dxfId="10" priority="4" stopIfTrue="1" operator="equal">
      <formula>TRUE</formula>
    </cfRule>
  </conditionalFormatting>
  <conditionalFormatting sqref="AO32:AP41">
    <cfRule type="cellIs" dxfId="9" priority="1" stopIfTrue="1" operator="equal">
      <formula>TRUE</formula>
    </cfRule>
  </conditionalFormatting>
  <conditionalFormatting sqref="AO45:AP54">
    <cfRule type="cellIs" dxfId="8" priority="2" stopIfTrue="1" operator="equal">
      <formula>TRUE</formula>
    </cfRule>
  </conditionalFormatting>
  <dataValidations count="4">
    <dataValidation type="list" allowBlank="1" showInputMessage="1" showErrorMessage="1" sqref="G32:H32" xr:uid="{00000000-0002-0000-0600-000000000000}">
      <formula1>GrafikGVS</formula1>
    </dataValidation>
    <dataValidation type="list" allowBlank="1" showInputMessage="1" showErrorMessage="1" sqref="D32" xr:uid="{00000000-0002-0000-0600-000001000000}">
      <formula1>Grafik</formula1>
    </dataValidation>
    <dataValidation type="list" allowBlank="1" showInputMessage="1" showErrorMessage="1" sqref="G34:H34 D34:E34" xr:uid="{00000000-0002-0000-0600-000002000000}">
      <formula1>DU_tr</formula1>
    </dataValidation>
    <dataValidation type="list" allowBlank="1" showInputMessage="1" showErrorMessage="1" sqref="F27" xr:uid="{43B5C55D-A71B-46CA-9FA8-0F26240B7DF3}">
      <formula1>Метод_подбора</formula1>
    </dataValidation>
  </dataValidations>
  <pageMargins left="0.25" right="0.25" top="0.75" bottom="0.75" header="0.3" footer="0.3"/>
  <pageSetup paperSize="9" scale="55" fitToHeight="0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00CC"/>
    <pageSetUpPr fitToPage="1"/>
  </sheetPr>
  <dimension ref="A1:BD163"/>
  <sheetViews>
    <sheetView showGridLines="0" showRowColHeaders="0" zoomScale="85" zoomScaleNormal="85" workbookViewId="0"/>
  </sheetViews>
  <sheetFormatPr defaultColWidth="9.15234375" defaultRowHeight="12.45" x14ac:dyDescent="0.3"/>
  <cols>
    <col min="1" max="1" width="8.69140625" style="6" customWidth="1"/>
    <col min="2" max="2" width="17.69140625" style="6" customWidth="1"/>
    <col min="3" max="3" width="65.69140625" style="6" customWidth="1"/>
    <col min="4" max="5" width="18.69140625" style="6" customWidth="1"/>
    <col min="6" max="6" width="5.69140625" style="6" customWidth="1"/>
    <col min="7" max="7" width="18.69140625" style="6" customWidth="1"/>
    <col min="8" max="8" width="9.15234375" style="6"/>
    <col min="9" max="9" width="9.15234375" style="6" customWidth="1"/>
    <col min="10" max="10" width="14.69140625" style="6" customWidth="1"/>
    <col min="11" max="11" width="9.15234375" style="6" hidden="1" customWidth="1"/>
    <col min="12" max="12" width="18.69140625" style="6" hidden="1" customWidth="1"/>
    <col min="13" max="18" width="12.69140625" style="6" hidden="1" customWidth="1"/>
    <col min="19" max="19" width="14.3046875" style="6" hidden="1" customWidth="1"/>
    <col min="20" max="23" width="12.69140625" style="6" hidden="1" customWidth="1"/>
    <col min="24" max="24" width="10.3046875" style="6" hidden="1" customWidth="1"/>
    <col min="25" max="28" width="12.15234375" style="6" hidden="1" customWidth="1"/>
    <col min="29" max="29" width="15" style="6" hidden="1" customWidth="1"/>
    <col min="30" max="30" width="14.84375" style="6" hidden="1" customWidth="1"/>
    <col min="31" max="34" width="15.15234375" style="6" hidden="1" customWidth="1"/>
    <col min="35" max="35" width="15.3828125" style="6" hidden="1" customWidth="1"/>
    <col min="36" max="39" width="13.15234375" style="6" hidden="1" customWidth="1"/>
    <col min="40" max="43" width="13.69140625" style="6" hidden="1" customWidth="1"/>
    <col min="44" max="44" width="25.69140625" style="6" hidden="1" customWidth="1"/>
    <col min="45" max="45" width="13.69140625" style="6" hidden="1" customWidth="1"/>
    <col min="46" max="46" width="18.53515625" style="6" hidden="1" customWidth="1"/>
    <col min="47" max="50" width="13.69140625" style="6" hidden="1" customWidth="1"/>
    <col min="51" max="55" width="13.69140625" style="6" customWidth="1"/>
    <col min="56" max="16384" width="9.15234375" style="6"/>
  </cols>
  <sheetData>
    <row r="1" spans="2:46" ht="18" customHeight="1" thickBot="1" x14ac:dyDescent="0.35">
      <c r="I1" s="256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7"/>
      <c r="AF1" s="257"/>
      <c r="AG1" s="814"/>
      <c r="AH1" s="814"/>
      <c r="AI1" s="8"/>
      <c r="AJ1" s="8"/>
      <c r="AK1" s="258"/>
      <c r="AL1" s="258"/>
      <c r="AM1" s="258"/>
      <c r="AN1" s="258"/>
      <c r="AO1" s="41"/>
      <c r="AP1" s="41"/>
      <c r="AQ1" s="41"/>
      <c r="AR1" s="41"/>
      <c r="AS1" s="41"/>
      <c r="AT1" s="259"/>
    </row>
    <row r="2" spans="2:46" ht="18" customHeight="1" thickBot="1" x14ac:dyDescent="0.55000000000000004">
      <c r="B2" s="827" t="s">
        <v>393</v>
      </c>
      <c r="C2" s="827"/>
      <c r="D2" s="827"/>
      <c r="E2" s="827"/>
      <c r="F2" s="260"/>
      <c r="G2" s="261"/>
      <c r="N2" s="262"/>
      <c r="O2" s="263" t="s">
        <v>406</v>
      </c>
      <c r="P2" s="264">
        <f>MATCH(M6,DyTr_New,0)</f>
        <v>16</v>
      </c>
      <c r="Q2" s="265">
        <f ca="1">MATCH(TRUE,AO4:AO13,0)</f>
        <v>4</v>
      </c>
      <c r="R2" s="266" t="s">
        <v>103</v>
      </c>
      <c r="S2" s="267"/>
      <c r="U2" s="268">
        <f ca="1">MATCH(TRUE,AO4:AO13,0)</f>
        <v>4</v>
      </c>
      <c r="V2" s="269" t="s">
        <v>407</v>
      </c>
      <c r="W2" s="270"/>
      <c r="X2" s="270"/>
      <c r="Y2" s="270"/>
      <c r="Z2" s="813" t="s">
        <v>206</v>
      </c>
      <c r="AA2" s="813"/>
      <c r="AB2" s="258"/>
      <c r="AG2" s="826" t="s">
        <v>75</v>
      </c>
      <c r="AH2" s="826"/>
      <c r="AI2" s="826"/>
      <c r="AJ2" s="271" t="s">
        <v>66</v>
      </c>
      <c r="AK2" s="810" t="s">
        <v>65</v>
      </c>
      <c r="AL2" s="810"/>
      <c r="AM2" s="810"/>
      <c r="AN2" s="272"/>
      <c r="AO2" s="273">
        <f ca="1">MATCH(TRUE,AO4:AO13,0)</f>
        <v>4</v>
      </c>
      <c r="AP2" s="273">
        <f ca="1">MATCH(TRUE,AP4:AP13,0)</f>
        <v>4</v>
      </c>
      <c r="AQ2" s="802" t="s">
        <v>69</v>
      </c>
      <c r="AR2" s="803"/>
      <c r="AS2" s="259"/>
      <c r="AT2" s="259"/>
    </row>
    <row r="3" spans="2:46" ht="18" customHeight="1" x14ac:dyDescent="0.3">
      <c r="B3" s="274"/>
      <c r="C3" s="274"/>
      <c r="D3" s="275"/>
      <c r="E3" s="274"/>
      <c r="F3" s="276"/>
      <c r="G3" s="276"/>
      <c r="L3" s="277" t="s">
        <v>70</v>
      </c>
      <c r="M3" s="278" t="s">
        <v>90</v>
      </c>
      <c r="N3" s="279" t="s">
        <v>97</v>
      </c>
      <c r="O3" s="88"/>
      <c r="P3" s="280" t="s">
        <v>93</v>
      </c>
      <c r="Q3" s="280" t="s">
        <v>92</v>
      </c>
      <c r="R3" s="280" t="s">
        <v>408</v>
      </c>
      <c r="S3" s="66" t="s">
        <v>61</v>
      </c>
      <c r="T3" s="280" t="s">
        <v>18</v>
      </c>
      <c r="U3" s="63" t="s">
        <v>20</v>
      </c>
      <c r="V3" s="62" t="s">
        <v>21</v>
      </c>
      <c r="W3" s="63" t="s">
        <v>62</v>
      </c>
      <c r="X3" s="64" t="s">
        <v>63</v>
      </c>
      <c r="Y3" s="64" t="s">
        <v>64</v>
      </c>
      <c r="Z3" s="117" t="s">
        <v>204</v>
      </c>
      <c r="AA3" s="117" t="s">
        <v>205</v>
      </c>
      <c r="AB3" s="63" t="s">
        <v>227</v>
      </c>
      <c r="AC3" s="63" t="s">
        <v>225</v>
      </c>
      <c r="AD3" s="63" t="s">
        <v>226</v>
      </c>
      <c r="AE3" s="63" t="s">
        <v>228</v>
      </c>
      <c r="AF3" s="63" t="s">
        <v>229</v>
      </c>
      <c r="AG3" s="281" t="s">
        <v>351</v>
      </c>
      <c r="AH3" s="281" t="s">
        <v>352</v>
      </c>
      <c r="AI3" s="281" t="s">
        <v>353</v>
      </c>
      <c r="AJ3" s="281"/>
      <c r="AK3" s="281" t="s">
        <v>351</v>
      </c>
      <c r="AL3" s="281" t="s">
        <v>352</v>
      </c>
      <c r="AM3" s="281" t="s">
        <v>353</v>
      </c>
      <c r="AN3" s="281" t="s">
        <v>67</v>
      </c>
      <c r="AO3" s="281" t="s">
        <v>230</v>
      </c>
      <c r="AP3" s="281" t="s">
        <v>231</v>
      </c>
      <c r="AQ3" s="282" t="s">
        <v>409</v>
      </c>
      <c r="AR3" s="283" t="str">
        <f ca="1">IF(ISERROR(AO2),IF(ISERROR(AP2),"НЕТ",OFFSET(Q4,AP2-1,0,1)&amp;"-"&amp;OFFSET(AN4,AP2-1,0,1)&amp;"-Фланец"),OFFSET(Q4,AO2-1,0,1)&amp;"-"&amp;OFFSET(AN4,AO2-1,0,1)&amp;"-Cэндвич")</f>
        <v>ПРЭМ-32-D-Cэндвич</v>
      </c>
      <c r="AT3" s="284" t="str">
        <f ca="1">IF(ISERROR(AO2),IF(ISERROR(AP2),"НЕТ",OFFSET(Q4,AP2-1,0,1)&amp;"-"&amp;OFFSET(AN4,AP2-1,0,1)),OFFSET(Q4,AO2-1,0,1)&amp;"-"&amp;OFFSET(AN4,AO2-1,0,1))</f>
        <v>ПРЭМ-32-D</v>
      </c>
    </row>
    <row r="4" spans="2:46" ht="18" customHeight="1" x14ac:dyDescent="0.3">
      <c r="B4" s="285" t="s">
        <v>117</v>
      </c>
      <c r="C4" s="850"/>
      <c r="D4" s="851"/>
      <c r="E4" s="852"/>
      <c r="F4" s="286"/>
      <c r="G4" s="286"/>
      <c r="L4" s="287" t="s">
        <v>74</v>
      </c>
      <c r="M4" s="288">
        <v>0.5</v>
      </c>
      <c r="N4" s="88">
        <f ca="1">OFFSET(DyTr_New,P2-1,1,1)</f>
        <v>6</v>
      </c>
      <c r="O4" s="88">
        <v>1</v>
      </c>
      <c r="P4" s="93" t="str">
        <f ca="1">IF(O4&lt;=$N$4,OFFSET(DyTr_New,$P$2-2+O4,4,1),"---")</f>
        <v>15-50</v>
      </c>
      <c r="Q4" s="93" t="str">
        <f t="shared" ref="Q4:Q13" ca="1" si="0">IF(O4&lt;=$N$4,OFFSET(DyTr_New,$P$2-2+O4,2,1),"---")</f>
        <v>ПРЭМ-15</v>
      </c>
      <c r="R4" s="93">
        <f t="shared" ref="R4:R13" ca="1" si="1">IF(O4&lt;=$N$4,OFFSET(DyTr_New,$P$2-2+O4,5,1),"---")</f>
        <v>15</v>
      </c>
      <c r="S4" s="93" t="str">
        <f ca="1">IF(O4&lt;=$N$4,OFFSET(DyTr_New,$P$2-2+O4,6,1),"---")</f>
        <v>30,14</v>
      </c>
      <c r="T4" s="93">
        <f t="shared" ref="T4:T13" ca="1" si="2">IF(O4&lt;=$N$4,($M$7/3.6)/((PI()*R4^2)/4000),"---")</f>
        <v>10.711582395277551</v>
      </c>
      <c r="U4" s="289">
        <f ca="1">IF(O4&lt;=$N$4,(T4*R4/$M$9/1000),"---")</f>
        <v>995409.90053867863</v>
      </c>
      <c r="V4" s="289">
        <f t="shared" ref="V4:V13" ca="1" si="3">IF(O4&lt;=$N$4,(1/(1.14+2*LOG((R4/$M$4),10))^2),"---")</f>
        <v>5.9655827422120798E-2</v>
      </c>
      <c r="W4" s="93">
        <f t="shared" ref="W4:W13" ca="1" si="4">IF(O4&lt;=$N$4,(IF(S4=0,0,(V4/(8*SIN(RADIANS(S4/2))))*(1-(R4/$M$6)^4))),"---")</f>
        <v>2.8448487298016373E-2</v>
      </c>
      <c r="X4" s="93">
        <f t="shared" ref="X4:X13" ca="1" si="5">IF(O4&lt;=$N$4,(3.2*TAN(RADIANS(S4/2))^1.25*(1-(R4/$M$6)^2)^2),"---")</f>
        <v>0.51397936922726728</v>
      </c>
      <c r="Y4" s="93">
        <f t="shared" ref="Y4:Y13" ca="1" si="6">IF(O4&lt;=$N$4,(IF(S4=0,0,V4/(8*SIN(RADIANS(S4/2)))*(1-(R4/$M$6)^4))),"---")</f>
        <v>2.8448487298016373E-2</v>
      </c>
      <c r="Z4" s="290">
        <f t="shared" ref="Z4:Z13" ca="1" si="7">IF(O4&lt;=$N$4,VLOOKUP(Q4&amp;"-Сэндвич",TypePFlow,3,FALSE),"---")</f>
        <v>0</v>
      </c>
      <c r="AA4" s="290">
        <f t="shared" ref="AA4:AA13" ca="1" si="8">IF(O4&lt;=$N$4,VLOOKUP(Q4&amp;"-Фланец",TypePFlow,3,FALSE),"---")</f>
        <v>0</v>
      </c>
      <c r="AB4" s="93">
        <f t="shared" ref="AB4:AB13" ca="1" si="9">IF(O4&lt;=$N$4,(V4*4+W4+X4+Y4)*T4^2/(2*9.81),"--")</f>
        <v>4.7339637690466185</v>
      </c>
      <c r="AC4" s="291">
        <f t="shared" ref="AC4:AC13" ca="1" si="10">IF(O4&lt;=$N$4,(Z4*$M$7^2),"--")</f>
        <v>0</v>
      </c>
      <c r="AD4" s="93">
        <f t="shared" ref="AD4:AD13" ca="1" si="11">IF(O4&lt;=$N$4,(AA4*$M$7^2),"--")</f>
        <v>0</v>
      </c>
      <c r="AE4" s="93">
        <f t="shared" ref="AE4:AE13" ca="1" si="12">IF(O4&lt;=$N$4,(AB4+AC4),"---")</f>
        <v>4.7339637690466185</v>
      </c>
      <c r="AF4" s="93">
        <f t="shared" ref="AF4:AF13" ca="1" si="13">IF(O4&lt;=$N$4,(AB4+AD4),"---")</f>
        <v>4.7339637690466185</v>
      </c>
      <c r="AG4" s="292">
        <f t="shared" ref="AG4:AG13" ca="1" si="14">IF(O4&lt;=$N$4,VLOOKUP(Q4&amp;"-D",ParamPiterflow,2,FALSE),"---")</f>
        <v>0.04</v>
      </c>
      <c r="AH4" s="292">
        <f t="shared" ref="AH4:AH13" ca="1" si="15">IF(O4&lt;=$N$4,VLOOKUP(Q4&amp;"-C1",ParamPiterflow,2,FALSE),"---")</f>
        <v>2.4E-2</v>
      </c>
      <c r="AI4" s="292">
        <f t="shared" ref="AI4:AI13" ca="1" si="16">IF(O4&lt;=$N$4,VLOOKUP(Q4&amp;"-B1",ParamPiterflow,2,FALSE),"---")</f>
        <v>1.2999999999999999E-2</v>
      </c>
      <c r="AJ4" s="292">
        <f t="shared" ref="AJ4:AJ13" ca="1" si="17">IF(O4&lt;=$N$4,VLOOKUP(Q4&amp;"-D",ParamPiterflow,4,FALSE),"---")</f>
        <v>6</v>
      </c>
      <c r="AK4" s="293" t="b">
        <f t="shared" ref="AK4:AK13" ca="1" si="18">IF($O4&lt;=$N$4,AND(AG4&lt;$M$8,$AJ4&gt;$M$7),"---")</f>
        <v>0</v>
      </c>
      <c r="AL4" s="293" t="b">
        <f t="shared" ref="AL4:AL13" ca="1" si="19">IF($O4&lt;=$N$4,AND(AH4&lt;$M$8,$AJ4&gt;$M$7),"---")</f>
        <v>0</v>
      </c>
      <c r="AM4" s="293" t="b">
        <f t="shared" ref="AM4:AM13" ca="1" si="20">IF($O4&lt;=$N$4,AND(AI4&lt;$M$8,$AJ4&gt;$M$7),"---")</f>
        <v>0</v>
      </c>
      <c r="AN4" s="294" t="str">
        <f ca="1">IF($O4&lt;=$N$4,IF(AK4,"D",IF(AL4,"C1",IF(AM4,"B1","НЕТ"))),"---")</f>
        <v>НЕТ</v>
      </c>
      <c r="AO4" s="294" t="b">
        <f ca="1">IF($O4&lt;=$N$4,AND(AE4&lt;$M$5,NOT(AN4="НЕТ"),IF($E$25="Экономный",T4&lt;=3,IF(AND($E$25="Оптимальный",T4&gt;$D$50),T4&lt;=1.8,IF(AND($E$25="Затратный",T4&gt;$D$50),T4&lt;=1,T4&lt;=3)))),"---")</f>
        <v>0</v>
      </c>
      <c r="AP4" s="294" t="b">
        <f ca="1">IF($O4&lt;=$N$4,AND(AF4&lt;$M$5,NOT(AN4="НЕТ"),IF($E$25="Экономный",T4&lt;=3,IF(AND($E$25="Оптимальный",T4&gt;$D$50),T4&lt;=1.8,IF(AND($E$25="Затратный",T4&gt;$D$50),T4&lt;=1,T4&lt;=3)))),"---")</f>
        <v>0</v>
      </c>
      <c r="AQ4" s="295"/>
      <c r="AR4" s="296"/>
      <c r="AS4" s="259"/>
      <c r="AT4" s="259">
        <f ca="1">IF(ISERROR(AO2),IF(ISERROR(AP2),"НЕТ",AP2),AO2)</f>
        <v>4</v>
      </c>
    </row>
    <row r="5" spans="2:46" ht="18" customHeight="1" x14ac:dyDescent="0.3">
      <c r="B5" s="8"/>
      <c r="C5" s="853"/>
      <c r="D5" s="854"/>
      <c r="E5" s="855"/>
      <c r="F5" s="276"/>
      <c r="G5" s="276"/>
      <c r="L5" s="297" t="s">
        <v>189</v>
      </c>
      <c r="M5" s="298">
        <f>D31</f>
        <v>0.5</v>
      </c>
      <c r="N5" s="88"/>
      <c r="O5" s="88">
        <v>2</v>
      </c>
      <c r="P5" s="93" t="str">
        <f t="shared" ref="P5:P10" ca="1" si="21">IF(O5&lt;=$N$4,OFFSET(DyTr_New,$P$2-2+O5,4,1),"---")</f>
        <v>20-50</v>
      </c>
      <c r="Q5" s="93" t="str">
        <f t="shared" ca="1" si="0"/>
        <v>ПРЭМ-20</v>
      </c>
      <c r="R5" s="93">
        <f t="shared" ca="1" si="1"/>
        <v>20</v>
      </c>
      <c r="S5" s="93" t="str">
        <f t="shared" ref="S5:S13" ca="1" si="22">IF(O5&lt;=$N$4,OFFSET(DyTr_New,$P$2-2+O5,6,1),"---")</f>
        <v>46,4</v>
      </c>
      <c r="T5" s="93">
        <f t="shared" ca="1" si="2"/>
        <v>6.025265097343623</v>
      </c>
      <c r="U5" s="289">
        <f t="shared" ref="U5:U13" ca="1" si="23">IF(O5&lt;=$N$4,(T5*R5/$M$9/1000),"---")</f>
        <v>746557.42540400906</v>
      </c>
      <c r="V5" s="289">
        <f t="shared" ca="1" si="3"/>
        <v>5.2990299783484442E-2</v>
      </c>
      <c r="W5" s="93">
        <f t="shared" ca="1" si="4"/>
        <v>1.6383680833374978E-2</v>
      </c>
      <c r="X5" s="93">
        <f t="shared" ca="1" si="5"/>
        <v>0.78302287976523621</v>
      </c>
      <c r="Y5" s="93">
        <f t="shared" ca="1" si="6"/>
        <v>1.6383680833374978E-2</v>
      </c>
      <c r="Z5" s="290">
        <f t="shared" ca="1" si="7"/>
        <v>0</v>
      </c>
      <c r="AA5" s="290">
        <f t="shared" ca="1" si="8"/>
        <v>0</v>
      </c>
      <c r="AB5" s="93">
        <f t="shared" ca="1" si="9"/>
        <v>1.9016973895132876</v>
      </c>
      <c r="AC5" s="291">
        <f t="shared" ca="1" si="10"/>
        <v>0</v>
      </c>
      <c r="AD5" s="93">
        <f t="shared" ca="1" si="11"/>
        <v>0</v>
      </c>
      <c r="AE5" s="93">
        <f t="shared" ca="1" si="12"/>
        <v>1.9016973895132876</v>
      </c>
      <c r="AF5" s="93">
        <f t="shared" ca="1" si="13"/>
        <v>1.9016973895132876</v>
      </c>
      <c r="AG5" s="292">
        <f t="shared" ca="1" si="14"/>
        <v>0.08</v>
      </c>
      <c r="AH5" s="292">
        <f t="shared" ca="1" si="15"/>
        <v>4.8000000000000001E-2</v>
      </c>
      <c r="AI5" s="292">
        <f t="shared" ca="1" si="16"/>
        <v>2.7E-2</v>
      </c>
      <c r="AJ5" s="292">
        <f t="shared" ca="1" si="17"/>
        <v>12</v>
      </c>
      <c r="AK5" s="293" t="b">
        <f t="shared" ca="1" si="18"/>
        <v>1</v>
      </c>
      <c r="AL5" s="293" t="b">
        <f t="shared" ca="1" si="19"/>
        <v>1</v>
      </c>
      <c r="AM5" s="293" t="b">
        <f t="shared" ca="1" si="20"/>
        <v>1</v>
      </c>
      <c r="AN5" s="294" t="str">
        <f t="shared" ref="AN5:AN13" ca="1" si="24">IF($O5&lt;=$N$4,IF(AK5,"D",IF(AL5,"C1",IF(AM5,"B1","НЕТ"))),"---")</f>
        <v>D</v>
      </c>
      <c r="AO5" s="294" t="b">
        <f t="shared" ref="AO5:AO13" ca="1" si="25">IF($O5&lt;=$N$4,AND(AE5&lt;$M$5,NOT(AN5="НЕТ"),IF($E$25="Экономный",T5&lt;=3,IF(AND($E$25="Оптимальный",T5&gt;$D$50),T5&lt;=1.8,IF(AND($E$25="Затратный",T5&gt;$D$50),T5&lt;=1,T5&lt;=3)))),"---")</f>
        <v>0</v>
      </c>
      <c r="AP5" s="294" t="b">
        <f t="shared" ref="AP5:AP13" ca="1" si="26">IF($O5&lt;=$N$4,AND(AF5&lt;$M$5,NOT(AN5="НЕТ"),IF($E$25="Экономный",T5&lt;=3,IF(AND($E$25="Оптимальный",T5&gt;$D$50),T5&lt;=1.8,IF(AND($E$25="Затратный",T5&gt;$D$50),T5&lt;=1,T5&lt;=3)))),"---")</f>
        <v>0</v>
      </c>
      <c r="AQ5" s="299" t="s">
        <v>18</v>
      </c>
      <c r="AR5" s="300">
        <f ca="1">OFFSET(T4,IF(ISERROR(AO2),IF(ISERROR(AP2),"НЕТ",AP2),AO2)-1,0,1)</f>
        <v>2.3536191786498524</v>
      </c>
      <c r="AS5" s="259"/>
      <c r="AT5" s="259"/>
    </row>
    <row r="6" spans="2:46" ht="18" customHeight="1" x14ac:dyDescent="0.3">
      <c r="B6" s="274"/>
      <c r="C6" s="856"/>
      <c r="D6" s="857"/>
      <c r="E6" s="858"/>
      <c r="F6" s="301"/>
      <c r="G6" s="301"/>
      <c r="L6" s="302" t="s">
        <v>410</v>
      </c>
      <c r="M6" s="303">
        <f>$D$32</f>
        <v>50</v>
      </c>
      <c r="N6" s="88"/>
      <c r="O6" s="88">
        <v>3</v>
      </c>
      <c r="P6" s="93" t="str">
        <f t="shared" ca="1" si="21"/>
        <v>25-50</v>
      </c>
      <c r="Q6" s="93" t="str">
        <f t="shared" ca="1" si="0"/>
        <v>ПРЭМ-25</v>
      </c>
      <c r="R6" s="93">
        <f t="shared" ca="1" si="1"/>
        <v>25</v>
      </c>
      <c r="S6" s="93" t="str">
        <f t="shared" ca="1" si="22"/>
        <v>39,3</v>
      </c>
      <c r="T6" s="93">
        <f t="shared" ca="1" si="2"/>
        <v>3.8561696622999184</v>
      </c>
      <c r="U6" s="289">
        <f t="shared" ca="1" si="23"/>
        <v>597245.94032320718</v>
      </c>
      <c r="V6" s="289">
        <f t="shared" ca="1" si="3"/>
        <v>4.8560427292756572E-2</v>
      </c>
      <c r="W6" s="93">
        <f t="shared" ca="1" si="4"/>
        <v>1.6922755912707779E-2</v>
      </c>
      <c r="X6" s="93">
        <f t="shared" ca="1" si="5"/>
        <v>0.49683315067415684</v>
      </c>
      <c r="Y6" s="93">
        <f t="shared" ca="1" si="6"/>
        <v>1.6922755912707779E-2</v>
      </c>
      <c r="Z6" s="290">
        <f t="shared" ca="1" si="7"/>
        <v>0</v>
      </c>
      <c r="AA6" s="290">
        <f t="shared" ca="1" si="8"/>
        <v>0</v>
      </c>
      <c r="AB6" s="93">
        <f t="shared" ca="1" si="9"/>
        <v>0.54941886645880811</v>
      </c>
      <c r="AC6" s="291">
        <f t="shared" ca="1" si="10"/>
        <v>0</v>
      </c>
      <c r="AD6" s="93">
        <f t="shared" ca="1" si="11"/>
        <v>0</v>
      </c>
      <c r="AE6" s="93">
        <f t="shared" ca="1" si="12"/>
        <v>0.54941886645880811</v>
      </c>
      <c r="AF6" s="93">
        <f t="shared" ca="1" si="13"/>
        <v>0.54941886645880811</v>
      </c>
      <c r="AG6" s="292">
        <f t="shared" ca="1" si="14"/>
        <v>0.12</v>
      </c>
      <c r="AH6" s="292">
        <f t="shared" ca="1" si="15"/>
        <v>7.1999999999999995E-2</v>
      </c>
      <c r="AI6" s="292">
        <f t="shared" ca="1" si="16"/>
        <v>0.04</v>
      </c>
      <c r="AJ6" s="292">
        <f t="shared" ca="1" si="17"/>
        <v>18</v>
      </c>
      <c r="AK6" s="293" t="b">
        <f t="shared" ca="1" si="18"/>
        <v>1</v>
      </c>
      <c r="AL6" s="293" t="b">
        <f t="shared" ca="1" si="19"/>
        <v>1</v>
      </c>
      <c r="AM6" s="293" t="b">
        <f t="shared" ca="1" si="20"/>
        <v>1</v>
      </c>
      <c r="AN6" s="294" t="str">
        <f t="shared" ca="1" si="24"/>
        <v>D</v>
      </c>
      <c r="AO6" s="294" t="b">
        <f t="shared" ca="1" si="25"/>
        <v>0</v>
      </c>
      <c r="AP6" s="294" t="b">
        <f t="shared" ca="1" si="26"/>
        <v>0</v>
      </c>
      <c r="AQ6" s="65" t="s">
        <v>22</v>
      </c>
      <c r="AR6" s="300">
        <f ca="1">IF(ISERROR(AO2),IF(ISERROR(AP2),"НЕТ",OFFSET(AF4,AP2-1,0,1)),OFFSET(AE4,AO2-1,0,1))</f>
        <v>0.11811354546859432</v>
      </c>
      <c r="AS6" s="304"/>
      <c r="AT6" s="91">
        <f ca="1">IF(ISERROR(AO2),IF(ISERROR(AP2),"НЕТ",OFFSET(AF4,AP2-1,0,1)),OFFSET(AE4,AO2-1,0,1))</f>
        <v>0.11811354546859432</v>
      </c>
    </row>
    <row r="7" spans="2:46" ht="18" customHeight="1" x14ac:dyDescent="0.3">
      <c r="L7" s="305" t="s">
        <v>71</v>
      </c>
      <c r="M7" s="306">
        <f>D47</f>
        <v>6.8144142836684578</v>
      </c>
      <c r="N7" s="88"/>
      <c r="O7" s="88">
        <v>4</v>
      </c>
      <c r="P7" s="93" t="str">
        <f t="shared" ca="1" si="21"/>
        <v>32-50</v>
      </c>
      <c r="Q7" s="93" t="str">
        <f t="shared" ca="1" si="0"/>
        <v>ПРЭМ-32</v>
      </c>
      <c r="R7" s="93">
        <f t="shared" ca="1" si="1"/>
        <v>32</v>
      </c>
      <c r="S7" s="93" t="str">
        <f t="shared" ca="1" si="22"/>
        <v>28,84</v>
      </c>
      <c r="T7" s="93">
        <f t="shared" ca="1" si="2"/>
        <v>2.3536191786498524</v>
      </c>
      <c r="U7" s="289">
        <f t="shared" ca="1" si="23"/>
        <v>466598.39087750559</v>
      </c>
      <c r="V7" s="289">
        <f t="shared" ca="1" si="3"/>
        <v>4.4277322004702871E-2</v>
      </c>
      <c r="W7" s="93">
        <f t="shared" ca="1" si="4"/>
        <v>1.8496325863946641E-2</v>
      </c>
      <c r="X7" s="93">
        <f t="shared" ca="1" si="5"/>
        <v>0.20423510163470199</v>
      </c>
      <c r="Y7" s="93">
        <f t="shared" ca="1" si="6"/>
        <v>1.8496325863946641E-2</v>
      </c>
      <c r="Z7" s="290">
        <f t="shared" ca="1" si="7"/>
        <v>0</v>
      </c>
      <c r="AA7" s="290">
        <f t="shared" ca="1" si="8"/>
        <v>0</v>
      </c>
      <c r="AB7" s="93">
        <f t="shared" ca="1" si="9"/>
        <v>0.11811354546859432</v>
      </c>
      <c r="AC7" s="291">
        <f t="shared" ca="1" si="10"/>
        <v>0</v>
      </c>
      <c r="AD7" s="93">
        <f t="shared" ca="1" si="11"/>
        <v>0</v>
      </c>
      <c r="AE7" s="93">
        <f t="shared" ca="1" si="12"/>
        <v>0.11811354546859432</v>
      </c>
      <c r="AF7" s="93">
        <f t="shared" ca="1" si="13"/>
        <v>0.11811354546859432</v>
      </c>
      <c r="AG7" s="292">
        <f t="shared" ca="1" si="14"/>
        <v>0.2</v>
      </c>
      <c r="AH7" s="292">
        <f t="shared" ca="1" si="15"/>
        <v>0.12</v>
      </c>
      <c r="AI7" s="292">
        <f t="shared" ca="1" si="16"/>
        <v>6.7000000000000004E-2</v>
      </c>
      <c r="AJ7" s="292">
        <f t="shared" ca="1" si="17"/>
        <v>30</v>
      </c>
      <c r="AK7" s="293" t="b">
        <f t="shared" ca="1" si="18"/>
        <v>1</v>
      </c>
      <c r="AL7" s="293" t="b">
        <f t="shared" ca="1" si="19"/>
        <v>1</v>
      </c>
      <c r="AM7" s="293" t="b">
        <f t="shared" ca="1" si="20"/>
        <v>1</v>
      </c>
      <c r="AN7" s="294" t="str">
        <f t="shared" ca="1" si="24"/>
        <v>D</v>
      </c>
      <c r="AO7" s="294" t="b">
        <f t="shared" ca="1" si="25"/>
        <v>1</v>
      </c>
      <c r="AP7" s="294" t="b">
        <f t="shared" ca="1" si="26"/>
        <v>1</v>
      </c>
      <c r="AQ7" s="307"/>
      <c r="AR7" s="308"/>
      <c r="AS7" s="309"/>
      <c r="AT7" s="310"/>
    </row>
    <row r="8" spans="2:46" ht="18" customHeight="1" x14ac:dyDescent="0.3">
      <c r="L8" s="305" t="s">
        <v>72</v>
      </c>
      <c r="M8" s="306">
        <f>D48</f>
        <v>3.4072071418342289</v>
      </c>
      <c r="N8" s="88"/>
      <c r="O8" s="88">
        <v>5</v>
      </c>
      <c r="P8" s="93" t="str">
        <f t="shared" ca="1" si="21"/>
        <v>40-50</v>
      </c>
      <c r="Q8" s="93" t="str">
        <f t="shared" ca="1" si="0"/>
        <v>ПРЭМ-40</v>
      </c>
      <c r="R8" s="93">
        <f t="shared" ca="1" si="1"/>
        <v>40</v>
      </c>
      <c r="S8" s="93" t="str">
        <f t="shared" ca="1" si="22"/>
        <v>11,42</v>
      </c>
      <c r="T8" s="93">
        <f t="shared" ca="1" si="2"/>
        <v>1.5063162743359058</v>
      </c>
      <c r="U8" s="289">
        <f t="shared" ca="1" si="23"/>
        <v>373278.71270200453</v>
      </c>
      <c r="V8" s="289">
        <f t="shared" ca="1" si="3"/>
        <v>4.0875226338606262E-2</v>
      </c>
      <c r="W8" s="93">
        <f t="shared" ca="1" si="4"/>
        <v>3.0319510161434582E-2</v>
      </c>
      <c r="X8" s="93">
        <f t="shared" ca="1" si="5"/>
        <v>2.3318371452135389E-2</v>
      </c>
      <c r="Y8" s="93">
        <f t="shared" ca="1" si="6"/>
        <v>3.0319510161434582E-2</v>
      </c>
      <c r="Z8" s="290">
        <f t="shared" ca="1" si="7"/>
        <v>0</v>
      </c>
      <c r="AA8" s="290">
        <f t="shared" ca="1" si="8"/>
        <v>0</v>
      </c>
      <c r="AB8" s="93">
        <f t="shared" ca="1" si="9"/>
        <v>2.8617741307014867E-2</v>
      </c>
      <c r="AC8" s="291">
        <f t="shared" ca="1" si="10"/>
        <v>0</v>
      </c>
      <c r="AD8" s="93">
        <f t="shared" ca="1" si="11"/>
        <v>0</v>
      </c>
      <c r="AE8" s="93">
        <f t="shared" ca="1" si="12"/>
        <v>2.8617741307014867E-2</v>
      </c>
      <c r="AF8" s="93">
        <f t="shared" ca="1" si="13"/>
        <v>2.8617741307014867E-2</v>
      </c>
      <c r="AG8" s="292">
        <f t="shared" ca="1" si="14"/>
        <v>0.3</v>
      </c>
      <c r="AH8" s="292">
        <f t="shared" ca="1" si="15"/>
        <v>0.18</v>
      </c>
      <c r="AI8" s="292">
        <f t="shared" ca="1" si="16"/>
        <v>0.1</v>
      </c>
      <c r="AJ8" s="292">
        <f t="shared" ca="1" si="17"/>
        <v>45</v>
      </c>
      <c r="AK8" s="293" t="b">
        <f t="shared" ca="1" si="18"/>
        <v>1</v>
      </c>
      <c r="AL8" s="293" t="b">
        <f t="shared" ca="1" si="19"/>
        <v>1</v>
      </c>
      <c r="AM8" s="293" t="b">
        <f t="shared" ca="1" si="20"/>
        <v>1</v>
      </c>
      <c r="AN8" s="294" t="str">
        <f t="shared" ca="1" si="24"/>
        <v>D</v>
      </c>
      <c r="AO8" s="294" t="b">
        <f t="shared" ca="1" si="25"/>
        <v>1</v>
      </c>
      <c r="AP8" s="294" t="b">
        <f t="shared" ca="1" si="26"/>
        <v>1</v>
      </c>
      <c r="AQ8" s="311"/>
      <c r="AR8" s="312"/>
      <c r="AS8" s="313"/>
      <c r="AT8" s="314"/>
    </row>
    <row r="9" spans="2:46" ht="18" customHeight="1" x14ac:dyDescent="0.35">
      <c r="L9" s="305" t="s">
        <v>73</v>
      </c>
      <c r="M9" s="315">
        <f>D60</f>
        <v>1.6141464520516888E-7</v>
      </c>
      <c r="N9" s="88"/>
      <c r="O9" s="88">
        <v>6</v>
      </c>
      <c r="P9" s="93" t="str">
        <f t="shared" ca="1" si="21"/>
        <v>50-50</v>
      </c>
      <c r="Q9" s="93" t="str">
        <f t="shared" ca="1" si="0"/>
        <v>ПРЭМ-50</v>
      </c>
      <c r="R9" s="93">
        <f t="shared" ca="1" si="1"/>
        <v>50</v>
      </c>
      <c r="S9" s="93">
        <f t="shared" ca="1" si="22"/>
        <v>0</v>
      </c>
      <c r="T9" s="93">
        <f t="shared" ca="1" si="2"/>
        <v>0.96404241557497961</v>
      </c>
      <c r="U9" s="289">
        <f t="shared" ca="1" si="23"/>
        <v>298622.97016160359</v>
      </c>
      <c r="V9" s="289">
        <f t="shared" ca="1" si="3"/>
        <v>3.7850686611455138E-2</v>
      </c>
      <c r="W9" s="93">
        <f t="shared" ca="1" si="4"/>
        <v>0</v>
      </c>
      <c r="X9" s="93">
        <f t="shared" ca="1" si="5"/>
        <v>0</v>
      </c>
      <c r="Y9" s="93">
        <f t="shared" ca="1" si="6"/>
        <v>0</v>
      </c>
      <c r="Z9" s="290">
        <f t="shared" ca="1" si="7"/>
        <v>0</v>
      </c>
      <c r="AA9" s="290">
        <f t="shared" ca="1" si="8"/>
        <v>0</v>
      </c>
      <c r="AB9" s="93">
        <f t="shared" ca="1" si="9"/>
        <v>7.1717812553772605E-3</v>
      </c>
      <c r="AC9" s="291">
        <f t="shared" ca="1" si="10"/>
        <v>0</v>
      </c>
      <c r="AD9" s="93">
        <f t="shared" ca="1" si="11"/>
        <v>0</v>
      </c>
      <c r="AE9" s="93">
        <f t="shared" ca="1" si="12"/>
        <v>7.1717812553772605E-3</v>
      </c>
      <c r="AF9" s="93">
        <f t="shared" ca="1" si="13"/>
        <v>7.1717812553772605E-3</v>
      </c>
      <c r="AG9" s="292">
        <f t="shared" ca="1" si="14"/>
        <v>0.48</v>
      </c>
      <c r="AH9" s="292">
        <f t="shared" ca="1" si="15"/>
        <v>0.28799999999999998</v>
      </c>
      <c r="AI9" s="292">
        <f t="shared" ca="1" si="16"/>
        <v>0.16</v>
      </c>
      <c r="AJ9" s="292">
        <f t="shared" ca="1" si="17"/>
        <v>72</v>
      </c>
      <c r="AK9" s="293" t="b">
        <f t="shared" ca="1" si="18"/>
        <v>1</v>
      </c>
      <c r="AL9" s="293" t="b">
        <f t="shared" ca="1" si="19"/>
        <v>1</v>
      </c>
      <c r="AM9" s="293" t="b">
        <f t="shared" ca="1" si="20"/>
        <v>1</v>
      </c>
      <c r="AN9" s="294" t="str">
        <f t="shared" ca="1" si="24"/>
        <v>D</v>
      </c>
      <c r="AO9" s="294" t="b">
        <f t="shared" ca="1" si="25"/>
        <v>1</v>
      </c>
      <c r="AP9" s="294" t="b">
        <f t="shared" ca="1" si="26"/>
        <v>1</v>
      </c>
      <c r="AQ9" s="91"/>
      <c r="AS9" s="316"/>
      <c r="AT9" s="317"/>
    </row>
    <row r="10" spans="2:46" ht="18" customHeight="1" thickBot="1" x14ac:dyDescent="0.35">
      <c r="L10" s="318" t="s">
        <v>102</v>
      </c>
      <c r="M10" s="319">
        <f>(M7/3.6)/((PI()*M6^2)/4000)</f>
        <v>0.96404241557497961</v>
      </c>
      <c r="O10" s="88">
        <v>7</v>
      </c>
      <c r="P10" s="93" t="str">
        <f t="shared" ca="1" si="21"/>
        <v>---</v>
      </c>
      <c r="Q10" s="93" t="str">
        <f t="shared" ca="1" si="0"/>
        <v>---</v>
      </c>
      <c r="R10" s="93" t="str">
        <f t="shared" ca="1" si="1"/>
        <v>---</v>
      </c>
      <c r="S10" s="93" t="str">
        <f t="shared" ca="1" si="22"/>
        <v>---</v>
      </c>
      <c r="T10" s="93" t="str">
        <f t="shared" ca="1" si="2"/>
        <v>---</v>
      </c>
      <c r="U10" s="289" t="str">
        <f t="shared" ca="1" si="23"/>
        <v>---</v>
      </c>
      <c r="V10" s="289" t="str">
        <f t="shared" ca="1" si="3"/>
        <v>---</v>
      </c>
      <c r="W10" s="93" t="str">
        <f t="shared" ca="1" si="4"/>
        <v>---</v>
      </c>
      <c r="X10" s="93" t="str">
        <f t="shared" ca="1" si="5"/>
        <v>---</v>
      </c>
      <c r="Y10" s="93" t="str">
        <f t="shared" ca="1" si="6"/>
        <v>---</v>
      </c>
      <c r="Z10" s="290" t="str">
        <f t="shared" ca="1" si="7"/>
        <v>---</v>
      </c>
      <c r="AA10" s="290" t="str">
        <f t="shared" ca="1" si="8"/>
        <v>---</v>
      </c>
      <c r="AB10" s="93" t="str">
        <f t="shared" ca="1" si="9"/>
        <v>--</v>
      </c>
      <c r="AC10" s="291" t="str">
        <f t="shared" ca="1" si="10"/>
        <v>--</v>
      </c>
      <c r="AD10" s="93" t="str">
        <f t="shared" ca="1" si="11"/>
        <v>--</v>
      </c>
      <c r="AE10" s="93" t="str">
        <f t="shared" ca="1" si="12"/>
        <v>---</v>
      </c>
      <c r="AF10" s="93" t="str">
        <f t="shared" ca="1" si="13"/>
        <v>---</v>
      </c>
      <c r="AG10" s="292" t="str">
        <f t="shared" ca="1" si="14"/>
        <v>---</v>
      </c>
      <c r="AH10" s="292" t="str">
        <f t="shared" ca="1" si="15"/>
        <v>---</v>
      </c>
      <c r="AI10" s="292" t="str">
        <f t="shared" ca="1" si="16"/>
        <v>---</v>
      </c>
      <c r="AJ10" s="292" t="str">
        <f t="shared" ca="1" si="17"/>
        <v>---</v>
      </c>
      <c r="AK10" s="293" t="str">
        <f t="shared" ca="1" si="18"/>
        <v>---</v>
      </c>
      <c r="AL10" s="293" t="str">
        <f t="shared" ca="1" si="19"/>
        <v>---</v>
      </c>
      <c r="AM10" s="293" t="str">
        <f t="shared" ca="1" si="20"/>
        <v>---</v>
      </c>
      <c r="AN10" s="294" t="str">
        <f t="shared" ca="1" si="24"/>
        <v>---</v>
      </c>
      <c r="AO10" s="294" t="str">
        <f t="shared" ca="1" si="25"/>
        <v>---</v>
      </c>
      <c r="AP10" s="294" t="str">
        <f t="shared" ca="1" si="26"/>
        <v>---</v>
      </c>
      <c r="AR10" s="320"/>
      <c r="AT10" s="9"/>
    </row>
    <row r="11" spans="2:46" ht="18" customHeight="1" x14ac:dyDescent="0.3">
      <c r="O11" s="88">
        <v>8</v>
      </c>
      <c r="P11" s="93" t="str">
        <f ca="1">IF(O11&lt;=$N$4,OFFSET(DyTr_New,$P$2-2+O11,4,1),"---")</f>
        <v>---</v>
      </c>
      <c r="Q11" s="93" t="str">
        <f t="shared" ca="1" si="0"/>
        <v>---</v>
      </c>
      <c r="R11" s="93" t="str">
        <f t="shared" ca="1" si="1"/>
        <v>---</v>
      </c>
      <c r="S11" s="93" t="str">
        <f t="shared" ca="1" si="22"/>
        <v>---</v>
      </c>
      <c r="T11" s="93" t="str">
        <f t="shared" ca="1" si="2"/>
        <v>---</v>
      </c>
      <c r="U11" s="289" t="str">
        <f t="shared" ca="1" si="23"/>
        <v>---</v>
      </c>
      <c r="V11" s="289" t="str">
        <f t="shared" ca="1" si="3"/>
        <v>---</v>
      </c>
      <c r="W11" s="93" t="str">
        <f t="shared" ca="1" si="4"/>
        <v>---</v>
      </c>
      <c r="X11" s="93" t="str">
        <f t="shared" ca="1" si="5"/>
        <v>---</v>
      </c>
      <c r="Y11" s="93" t="str">
        <f t="shared" ca="1" si="6"/>
        <v>---</v>
      </c>
      <c r="Z11" s="290" t="str">
        <f t="shared" ca="1" si="7"/>
        <v>---</v>
      </c>
      <c r="AA11" s="290" t="str">
        <f t="shared" ca="1" si="8"/>
        <v>---</v>
      </c>
      <c r="AB11" s="93" t="str">
        <f t="shared" ca="1" si="9"/>
        <v>--</v>
      </c>
      <c r="AC11" s="291" t="str">
        <f t="shared" ca="1" si="10"/>
        <v>--</v>
      </c>
      <c r="AD11" s="93" t="str">
        <f t="shared" ca="1" si="11"/>
        <v>--</v>
      </c>
      <c r="AE11" s="93" t="str">
        <f t="shared" ca="1" si="12"/>
        <v>---</v>
      </c>
      <c r="AF11" s="93" t="str">
        <f t="shared" ca="1" si="13"/>
        <v>---</v>
      </c>
      <c r="AG11" s="292" t="str">
        <f t="shared" ca="1" si="14"/>
        <v>---</v>
      </c>
      <c r="AH11" s="292" t="str">
        <f t="shared" ca="1" si="15"/>
        <v>---</v>
      </c>
      <c r="AI11" s="292" t="str">
        <f t="shared" ca="1" si="16"/>
        <v>---</v>
      </c>
      <c r="AJ11" s="292" t="str">
        <f t="shared" ca="1" si="17"/>
        <v>---</v>
      </c>
      <c r="AK11" s="293" t="str">
        <f t="shared" ca="1" si="18"/>
        <v>---</v>
      </c>
      <c r="AL11" s="293" t="str">
        <f t="shared" ca="1" si="19"/>
        <v>---</v>
      </c>
      <c r="AM11" s="293" t="str">
        <f t="shared" ca="1" si="20"/>
        <v>---</v>
      </c>
      <c r="AN11" s="294" t="str">
        <f t="shared" ca="1" si="24"/>
        <v>---</v>
      </c>
      <c r="AO11" s="294" t="str">
        <f t="shared" ca="1" si="25"/>
        <v>---</v>
      </c>
      <c r="AP11" s="294" t="str">
        <f t="shared" ca="1" si="26"/>
        <v>---</v>
      </c>
      <c r="AR11" s="320"/>
      <c r="AT11" s="91"/>
    </row>
    <row r="12" spans="2:46" ht="18" customHeight="1" x14ac:dyDescent="0.3">
      <c r="O12" s="88">
        <v>9</v>
      </c>
      <c r="P12" s="93" t="str">
        <f ca="1">IF(O12&lt;=$N$4,OFFSET(DyTr_New,$P$2-2+O12,4,1),"---")</f>
        <v>---</v>
      </c>
      <c r="Q12" s="93" t="str">
        <f t="shared" ca="1" si="0"/>
        <v>---</v>
      </c>
      <c r="R12" s="93" t="str">
        <f t="shared" ca="1" si="1"/>
        <v>---</v>
      </c>
      <c r="S12" s="93" t="str">
        <f t="shared" ca="1" si="22"/>
        <v>---</v>
      </c>
      <c r="T12" s="93" t="str">
        <f t="shared" ca="1" si="2"/>
        <v>---</v>
      </c>
      <c r="U12" s="289" t="str">
        <f t="shared" ca="1" si="23"/>
        <v>---</v>
      </c>
      <c r="V12" s="289" t="str">
        <f t="shared" ca="1" si="3"/>
        <v>---</v>
      </c>
      <c r="W12" s="93" t="str">
        <f t="shared" ca="1" si="4"/>
        <v>---</v>
      </c>
      <c r="X12" s="93" t="str">
        <f t="shared" ca="1" si="5"/>
        <v>---</v>
      </c>
      <c r="Y12" s="93" t="str">
        <f t="shared" ca="1" si="6"/>
        <v>---</v>
      </c>
      <c r="Z12" s="290" t="str">
        <f t="shared" ca="1" si="7"/>
        <v>---</v>
      </c>
      <c r="AA12" s="290" t="str">
        <f t="shared" ca="1" si="8"/>
        <v>---</v>
      </c>
      <c r="AB12" s="93" t="str">
        <f t="shared" ca="1" si="9"/>
        <v>--</v>
      </c>
      <c r="AC12" s="291" t="str">
        <f t="shared" ca="1" si="10"/>
        <v>--</v>
      </c>
      <c r="AD12" s="93" t="str">
        <f t="shared" ca="1" si="11"/>
        <v>--</v>
      </c>
      <c r="AE12" s="93" t="str">
        <f t="shared" ca="1" si="12"/>
        <v>---</v>
      </c>
      <c r="AF12" s="93" t="str">
        <f t="shared" ca="1" si="13"/>
        <v>---</v>
      </c>
      <c r="AG12" s="292" t="str">
        <f t="shared" ca="1" si="14"/>
        <v>---</v>
      </c>
      <c r="AH12" s="292" t="str">
        <f t="shared" ca="1" si="15"/>
        <v>---</v>
      </c>
      <c r="AI12" s="292" t="str">
        <f t="shared" ca="1" si="16"/>
        <v>---</v>
      </c>
      <c r="AJ12" s="292" t="str">
        <f t="shared" ca="1" si="17"/>
        <v>---</v>
      </c>
      <c r="AK12" s="293" t="str">
        <f t="shared" ca="1" si="18"/>
        <v>---</v>
      </c>
      <c r="AL12" s="293" t="str">
        <f t="shared" ca="1" si="19"/>
        <v>---</v>
      </c>
      <c r="AM12" s="293" t="str">
        <f t="shared" ca="1" si="20"/>
        <v>---</v>
      </c>
      <c r="AN12" s="294" t="str">
        <f t="shared" ca="1" si="24"/>
        <v>---</v>
      </c>
      <c r="AO12" s="294" t="str">
        <f t="shared" ca="1" si="25"/>
        <v>---</v>
      </c>
      <c r="AP12" s="294" t="str">
        <f t="shared" ca="1" si="26"/>
        <v>---</v>
      </c>
      <c r="AS12" s="41"/>
      <c r="AT12" s="91"/>
    </row>
    <row r="13" spans="2:46" ht="18" customHeight="1" x14ac:dyDescent="0.3">
      <c r="O13" s="88">
        <v>10</v>
      </c>
      <c r="P13" s="93" t="str">
        <f ca="1">IF(O13&lt;=$N$4,OFFSET(DyTr_New,$P$2-2+O13,4,1),"---")</f>
        <v>---</v>
      </c>
      <c r="Q13" s="93" t="str">
        <f t="shared" ca="1" si="0"/>
        <v>---</v>
      </c>
      <c r="R13" s="93" t="str">
        <f t="shared" ca="1" si="1"/>
        <v>---</v>
      </c>
      <c r="S13" s="93" t="str">
        <f t="shared" ca="1" si="22"/>
        <v>---</v>
      </c>
      <c r="T13" s="93" t="str">
        <f t="shared" ca="1" si="2"/>
        <v>---</v>
      </c>
      <c r="U13" s="289" t="str">
        <f t="shared" ca="1" si="23"/>
        <v>---</v>
      </c>
      <c r="V13" s="289" t="str">
        <f t="shared" ca="1" si="3"/>
        <v>---</v>
      </c>
      <c r="W13" s="93" t="str">
        <f t="shared" ca="1" si="4"/>
        <v>---</v>
      </c>
      <c r="X13" s="93" t="str">
        <f t="shared" ca="1" si="5"/>
        <v>---</v>
      </c>
      <c r="Y13" s="93" t="str">
        <f t="shared" ca="1" si="6"/>
        <v>---</v>
      </c>
      <c r="Z13" s="290" t="str">
        <f t="shared" ca="1" si="7"/>
        <v>---</v>
      </c>
      <c r="AA13" s="290" t="str">
        <f t="shared" ca="1" si="8"/>
        <v>---</v>
      </c>
      <c r="AB13" s="93" t="str">
        <f t="shared" ca="1" si="9"/>
        <v>--</v>
      </c>
      <c r="AC13" s="291" t="str">
        <f t="shared" ca="1" si="10"/>
        <v>--</v>
      </c>
      <c r="AD13" s="93" t="str">
        <f t="shared" ca="1" si="11"/>
        <v>--</v>
      </c>
      <c r="AE13" s="93" t="str">
        <f t="shared" ca="1" si="12"/>
        <v>---</v>
      </c>
      <c r="AF13" s="93" t="str">
        <f t="shared" ca="1" si="13"/>
        <v>---</v>
      </c>
      <c r="AG13" s="292" t="str">
        <f t="shared" ca="1" si="14"/>
        <v>---</v>
      </c>
      <c r="AH13" s="292" t="str">
        <f t="shared" ca="1" si="15"/>
        <v>---</v>
      </c>
      <c r="AI13" s="292" t="str">
        <f t="shared" ca="1" si="16"/>
        <v>---</v>
      </c>
      <c r="AJ13" s="292" t="str">
        <f t="shared" ca="1" si="17"/>
        <v>---</v>
      </c>
      <c r="AK13" s="293" t="str">
        <f t="shared" ca="1" si="18"/>
        <v>---</v>
      </c>
      <c r="AL13" s="293" t="str">
        <f t="shared" ca="1" si="19"/>
        <v>---</v>
      </c>
      <c r="AM13" s="293" t="str">
        <f t="shared" ca="1" si="20"/>
        <v>---</v>
      </c>
      <c r="AN13" s="294" t="str">
        <f t="shared" ca="1" si="24"/>
        <v>---</v>
      </c>
      <c r="AO13" s="294" t="str">
        <f t="shared" ca="1" si="25"/>
        <v>---</v>
      </c>
      <c r="AP13" s="294" t="str">
        <f t="shared" ca="1" si="26"/>
        <v>---</v>
      </c>
      <c r="AS13" s="41"/>
      <c r="AT13" s="91"/>
    </row>
    <row r="14" spans="2:46" ht="18" customHeight="1" thickBot="1" x14ac:dyDescent="0.35">
      <c r="T14" s="321" t="s">
        <v>411</v>
      </c>
      <c r="Z14" s="322"/>
      <c r="AA14" s="322"/>
      <c r="AS14" s="41"/>
      <c r="AT14" s="91"/>
    </row>
    <row r="15" spans="2:46" ht="18" customHeight="1" thickBot="1" x14ac:dyDescent="0.35">
      <c r="N15" s="262"/>
      <c r="O15" s="263" t="s">
        <v>406</v>
      </c>
      <c r="P15" s="264">
        <f>MATCH(M19,DyTr_New,0)</f>
        <v>16</v>
      </c>
      <c r="Q15" s="265">
        <f ca="1">MATCH(TRUE,AO17:AO26,0)</f>
        <v>4</v>
      </c>
      <c r="R15" s="266" t="s">
        <v>103</v>
      </c>
      <c r="S15" s="267"/>
      <c r="T15" s="323">
        <f ca="1">IF(M6=M19,Q2,Q15)</f>
        <v>4</v>
      </c>
      <c r="U15" s="268">
        <f ca="1">MATCH(TRUE,AO17:AO26,0)</f>
        <v>4</v>
      </c>
      <c r="V15" s="269" t="s">
        <v>407</v>
      </c>
      <c r="W15" s="270"/>
      <c r="X15" s="270"/>
      <c r="Y15" s="270"/>
      <c r="Z15" s="838" t="s">
        <v>206</v>
      </c>
      <c r="AA15" s="838"/>
      <c r="AB15" s="258"/>
      <c r="AG15" s="826" t="s">
        <v>75</v>
      </c>
      <c r="AH15" s="826"/>
      <c r="AI15" s="826"/>
      <c r="AJ15" s="271" t="s">
        <v>66</v>
      </c>
      <c r="AK15" s="810" t="s">
        <v>65</v>
      </c>
      <c r="AL15" s="810"/>
      <c r="AM15" s="810"/>
      <c r="AN15" s="272"/>
      <c r="AO15" s="273">
        <f ca="1">MATCH(TRUE,AO17:AO26,0)</f>
        <v>4</v>
      </c>
      <c r="AP15" s="273">
        <f ca="1">MATCH(TRUE,AP17:AP26,0)</f>
        <v>4</v>
      </c>
      <c r="AQ15" s="802" t="s">
        <v>69</v>
      </c>
      <c r="AR15" s="803"/>
      <c r="AS15" s="41"/>
      <c r="AT15" s="91"/>
    </row>
    <row r="16" spans="2:46" ht="18" customHeight="1" x14ac:dyDescent="0.3">
      <c r="L16" s="277" t="s">
        <v>76</v>
      </c>
      <c r="M16" s="278" t="s">
        <v>90</v>
      </c>
      <c r="N16" s="279" t="s">
        <v>97</v>
      </c>
      <c r="O16" s="88"/>
      <c r="P16" s="280" t="s">
        <v>93</v>
      </c>
      <c r="Q16" s="280" t="s">
        <v>92</v>
      </c>
      <c r="R16" s="280" t="s">
        <v>408</v>
      </c>
      <c r="S16" s="66" t="s">
        <v>61</v>
      </c>
      <c r="T16" s="280" t="s">
        <v>18</v>
      </c>
      <c r="U16" s="63" t="s">
        <v>20</v>
      </c>
      <c r="V16" s="62" t="s">
        <v>21</v>
      </c>
      <c r="W16" s="63" t="s">
        <v>62</v>
      </c>
      <c r="X16" s="64" t="s">
        <v>63</v>
      </c>
      <c r="Y16" s="64" t="s">
        <v>64</v>
      </c>
      <c r="Z16" s="117" t="s">
        <v>204</v>
      </c>
      <c r="AA16" s="117" t="s">
        <v>205</v>
      </c>
      <c r="AB16" s="63" t="s">
        <v>227</v>
      </c>
      <c r="AC16" s="63" t="s">
        <v>225</v>
      </c>
      <c r="AD16" s="63" t="s">
        <v>226</v>
      </c>
      <c r="AE16" s="63" t="s">
        <v>228</v>
      </c>
      <c r="AF16" s="63" t="s">
        <v>229</v>
      </c>
      <c r="AG16" s="281" t="s">
        <v>351</v>
      </c>
      <c r="AH16" s="281" t="s">
        <v>352</v>
      </c>
      <c r="AI16" s="281" t="s">
        <v>353</v>
      </c>
      <c r="AJ16" s="281"/>
      <c r="AK16" s="281" t="s">
        <v>351</v>
      </c>
      <c r="AL16" s="281" t="s">
        <v>352</v>
      </c>
      <c r="AM16" s="281" t="s">
        <v>353</v>
      </c>
      <c r="AN16" s="281" t="s">
        <v>67</v>
      </c>
      <c r="AO16" s="281" t="s">
        <v>230</v>
      </c>
      <c r="AP16" s="281" t="s">
        <v>231</v>
      </c>
      <c r="AQ16" s="282" t="s">
        <v>409</v>
      </c>
      <c r="AR16" s="283" t="str">
        <f ca="1">IF(ISERROR(AO15),IF(ISERROR(AP15),"НЕТ",OFFSET(Q17,AP15-1,0,1)&amp;"-"&amp;OFFSET(AN17,AP15-1,0,1)&amp;"-Фланец"),OFFSET(Q17,AO15-1,0,1)&amp;"-"&amp;OFFSET(AN17,AO15-1,0,1)&amp;"-Cэндвич")</f>
        <v>ПРЭМ-32-D-Cэндвич</v>
      </c>
      <c r="AS16" s="41"/>
      <c r="AT16" s="284" t="str">
        <f ca="1">IF(ISERROR(AO15),IF(ISERROR(AP15),"НЕТ",OFFSET(Q17,AP15-1,0,1)&amp;"-"&amp;OFFSET(AN17,AP15-1,0,1)),OFFSET(Q17,AO15-1,0,1)&amp;"-"&amp;OFFSET(AN17,AO15-1,0,1))</f>
        <v>ПРЭМ-32-D</v>
      </c>
    </row>
    <row r="17" spans="2:55" ht="18" customHeight="1" x14ac:dyDescent="0.3">
      <c r="L17" s="287" t="s">
        <v>74</v>
      </c>
      <c r="M17" s="288">
        <v>0.5</v>
      </c>
      <c r="N17" s="88">
        <f ca="1">OFFSET(DyTr_New,P15-1,1,1)</f>
        <v>6</v>
      </c>
      <c r="O17" s="88">
        <v>1</v>
      </c>
      <c r="P17" s="93" t="str">
        <f t="shared" ref="P17:P26" ca="1" si="27">IF(O17&lt;=$N$17,OFFSET(DyTr_New,$P$15-2+O17,4,1),"---")</f>
        <v>15-50</v>
      </c>
      <c r="Q17" s="93" t="str">
        <f t="shared" ref="Q17:Q26" ca="1" si="28">IF(O17&lt;=$N$17,OFFSET(DyTr_New,$P$15-2+O17,2,1),"---")</f>
        <v>ПРЭМ-15</v>
      </c>
      <c r="R17" s="93">
        <f t="shared" ref="R17:R26" ca="1" si="29">IF(O17&lt;=$N$17,OFFSET(DyTr_New,$P$15-2+O17,5,1),"---")</f>
        <v>15</v>
      </c>
      <c r="S17" s="93" t="str">
        <f ca="1">IF(O17&lt;=$N$17,OFFSET(DyTr_New,$P$15-2+O17,6,1),"---")</f>
        <v>30,14</v>
      </c>
      <c r="T17" s="93">
        <f ca="1">IF(O17&lt;=$N$17,($M$20/3.6)/((PI()*R17^2)/4000),"---")</f>
        <v>10.04142613006108</v>
      </c>
      <c r="U17" s="289">
        <f ca="1">IF(O17&lt;=$N$17,(T17*R17/$M$22/1000),"---")</f>
        <v>375868.06792515441</v>
      </c>
      <c r="V17" s="289">
        <f ca="1">IF(O17&lt;=$N$17,(1/(1.14+2*LOG((R17/$M$17),10))^2),"---")</f>
        <v>5.9655827422120798E-2</v>
      </c>
      <c r="W17" s="93">
        <f ca="1">IF(O17&lt;=$N$17,(IF(S17=0,0,(V17/(8*SIN(RADIANS(S17/2))))*(1-(R17/$M$19)^4))),"---")</f>
        <v>2.8448487298016373E-2</v>
      </c>
      <c r="X17" s="93">
        <f ca="1">IF(O17&lt;=$N$17,(3.2*TAN(RADIANS(S17/2))^1.25*(1-(R17/$M$19)^2)^2),"---")</f>
        <v>0.51397936922726728</v>
      </c>
      <c r="Y17" s="93">
        <f ca="1">IF(O17&lt;=$N$17,(IF(S17=0,0,V17/(8*SIN(RADIANS(S17/2)))*(1-(R17/$M$19)^4))),"---")</f>
        <v>2.8448487298016373E-2</v>
      </c>
      <c r="Z17" s="290">
        <f t="shared" ref="Z17:Z26" ca="1" si="30">IF(O17&lt;=$N$17,VLOOKUP(Q17&amp;"-Сэндвич",TypePFlow,3,FALSE),"---")</f>
        <v>0</v>
      </c>
      <c r="AA17" s="290">
        <f t="shared" ref="AA17:AA26" ca="1" si="31">IF(O17&lt;=$N$17,VLOOKUP(Q17&amp;"-Фланец",TypePFlow,3,FALSE),"---")</f>
        <v>0</v>
      </c>
      <c r="AB17" s="93">
        <f t="shared" ref="AB17:AB26" ca="1" si="32">IF(O17&lt;=$N$17,(V17*4+W17+X17+Y17)*T17^2/(2*9.81),"--")</f>
        <v>4.1601449190510262</v>
      </c>
      <c r="AC17" s="291">
        <f t="shared" ref="AC17:AC26" ca="1" si="33">IF(O17&lt;=$N$17,(Z17*$M$20^2),"--")</f>
        <v>0</v>
      </c>
      <c r="AD17" s="93">
        <f t="shared" ref="AD17:AD26" ca="1" si="34">IF(O17&lt;=$N$17,(AA17*$M$20^2),"--")</f>
        <v>0</v>
      </c>
      <c r="AE17" s="93">
        <f t="shared" ref="AE17:AE26" ca="1" si="35">IF(O17&lt;=$N$17,(AB17+AC17),"---")</f>
        <v>4.1601449190510262</v>
      </c>
      <c r="AF17" s="93">
        <f t="shared" ref="AF17:AF26" ca="1" si="36">IF(O17&lt;=$N$17,(AB17+AD17),"---")</f>
        <v>4.1601449190510262</v>
      </c>
      <c r="AG17" s="292">
        <f t="shared" ref="AG17:AG26" ca="1" si="37">IF(O17&lt;=$N$17,VLOOKUP(Q17&amp;"-D",ParamPiterflow,2,FALSE),"---")</f>
        <v>0.04</v>
      </c>
      <c r="AH17" s="292">
        <f t="shared" ref="AH17:AH26" ca="1" si="38">IF(O17&lt;=$N$17,VLOOKUP(Q17&amp;"-C1",ParamPiterflow,2,FALSE),"---")</f>
        <v>2.4E-2</v>
      </c>
      <c r="AI17" s="292">
        <f t="shared" ref="AI17:AI26" ca="1" si="39">IF(O17&lt;=$N$17,VLOOKUP(Q17&amp;"-B1",ParamPiterflow,2,FALSE),"---")</f>
        <v>1.2999999999999999E-2</v>
      </c>
      <c r="AJ17" s="292">
        <f t="shared" ref="AJ17:AJ26" ca="1" si="40">IF(O17&lt;=$N$17,VLOOKUP(Q17&amp;"-D",ParamPiterflow,4,FALSE),"---")</f>
        <v>6</v>
      </c>
      <c r="AK17" s="293" t="b">
        <f t="shared" ref="AK17:AK26" ca="1" si="41">IF($O17&lt;=$N$17,AND(AG17&lt;$M$21,$AJ17&gt;$M$20),"---")</f>
        <v>0</v>
      </c>
      <c r="AL17" s="293" t="b">
        <f t="shared" ref="AL17:AL26" ca="1" si="42">IF($O17&lt;=$N$17,AND(AH17&lt;$M$21,$AJ17&gt;$M$20),"---")</f>
        <v>0</v>
      </c>
      <c r="AM17" s="293" t="b">
        <f t="shared" ref="AM17:AM26" ca="1" si="43">IF($O17&lt;=$N$17,AND(AI17&lt;$M$21,$AJ17&gt;$M$20),"---")</f>
        <v>0</v>
      </c>
      <c r="AN17" s="294" t="str">
        <f ca="1">IF($O17&lt;=$N$17,IF(AK17,"D",IF(AL17,"C1",IF(AM17,"B1","НЕТ"))),"---")</f>
        <v>НЕТ</v>
      </c>
      <c r="AO17" s="294" t="b">
        <f ca="1">IF($O17&lt;=$N$17,AND(AE17&lt;$M$18,NOT(AN17="НЕТ"),IF($E$25="Экономный",T17&lt;=3,IF(AND($E$25="Оптимальный",T17&gt;$E$50),T17&lt;=1.8,IF(AND($E$25="Затратный",T17&gt;$E$50),T17&lt;=1,T17&lt;=3)))),"---")</f>
        <v>0</v>
      </c>
      <c r="AP17" s="294" t="b">
        <f ca="1">IF($O17&lt;=$N$17,AND(AF17&lt;$M$18,NOT(AN17="НЕТ"),IF($E$25="Экономный",T17&lt;=3,IF(AND($E$25="Оптимальный",T17&gt;$E$50),T17&lt;=1.8,IF(AND($E$25="Затратный",T17&gt;$E$50),T17&lt;=1,T17&lt;=3)))),"---")</f>
        <v>0</v>
      </c>
      <c r="AQ17" s="295"/>
      <c r="AR17" s="296"/>
      <c r="AS17" s="41"/>
      <c r="AT17" s="91"/>
    </row>
    <row r="18" spans="2:55" ht="18" customHeight="1" x14ac:dyDescent="0.3">
      <c r="L18" s="297" t="s">
        <v>189</v>
      </c>
      <c r="M18" s="298">
        <f>E31</f>
        <v>0.5</v>
      </c>
      <c r="N18" s="88"/>
      <c r="O18" s="88">
        <v>2</v>
      </c>
      <c r="P18" s="93" t="str">
        <f t="shared" ca="1" si="27"/>
        <v>20-50</v>
      </c>
      <c r="Q18" s="93" t="str">
        <f t="shared" ca="1" si="28"/>
        <v>ПРЭМ-20</v>
      </c>
      <c r="R18" s="93">
        <f t="shared" ca="1" si="29"/>
        <v>20</v>
      </c>
      <c r="S18" s="93" t="str">
        <f t="shared" ref="S18:S26" ca="1" si="44">IF(O18&lt;=$N$17,OFFSET(DyTr_New,$P$15-2+O18,6,1),"---")</f>
        <v>46,4</v>
      </c>
      <c r="T18" s="93">
        <f t="shared" ref="T18:T26" ca="1" si="45">IF(O18&lt;=$N$17,($M$20/3.6)/((PI()*R18^2)/4000),"---")</f>
        <v>5.6483021981593566</v>
      </c>
      <c r="U18" s="289">
        <f t="shared" ref="U18:U26" ca="1" si="46">IF(O18&lt;=$N$17,(T18*R18/$M$22/1000),"---")</f>
        <v>281901.05094386573</v>
      </c>
      <c r="V18" s="289">
        <f t="shared" ref="V18:V24" ca="1" si="47">IF(O18&lt;=$N$17,(1/(1.14+2*LOG((R18/$M$17),10))^2),"---")</f>
        <v>5.2990299783484442E-2</v>
      </c>
      <c r="W18" s="93">
        <f t="shared" ref="W18:W26" ca="1" si="48">IF(O18&lt;=$N$17,(IF(S18=0,0,(V18/(8*SIN(RADIANS(S18/2))))*(1-(R18/$M$19)^4))),"---")</f>
        <v>1.6383680833374978E-2</v>
      </c>
      <c r="X18" s="93">
        <f t="shared" ref="X18:X26" ca="1" si="49">IF(O18&lt;=$N$17,(3.2*TAN(RADIANS(S18/2))^1.25*(1-(R18/$M$19)^2)^2),"---")</f>
        <v>0.78302287976523621</v>
      </c>
      <c r="Y18" s="93">
        <f t="shared" ref="Y18:Y26" ca="1" si="50">IF(O18&lt;=$N$17,(IF(S18=0,0,V18/(8*SIN(RADIANS(S18/2)))*(1-(R18/$M$19)^4))),"---")</f>
        <v>1.6383680833374978E-2</v>
      </c>
      <c r="Z18" s="290">
        <f t="shared" ca="1" si="30"/>
        <v>0</v>
      </c>
      <c r="AA18" s="290">
        <f t="shared" ca="1" si="31"/>
        <v>0</v>
      </c>
      <c r="AB18" s="93">
        <f t="shared" ca="1" si="32"/>
        <v>1.6711865824333463</v>
      </c>
      <c r="AC18" s="291">
        <f t="shared" ca="1" si="33"/>
        <v>0</v>
      </c>
      <c r="AD18" s="93">
        <f t="shared" ca="1" si="34"/>
        <v>0</v>
      </c>
      <c r="AE18" s="93">
        <f t="shared" ca="1" si="35"/>
        <v>1.6711865824333463</v>
      </c>
      <c r="AF18" s="93">
        <f t="shared" ca="1" si="36"/>
        <v>1.6711865824333463</v>
      </c>
      <c r="AG18" s="292">
        <f t="shared" ca="1" si="37"/>
        <v>0.08</v>
      </c>
      <c r="AH18" s="292">
        <f t="shared" ca="1" si="38"/>
        <v>4.8000000000000001E-2</v>
      </c>
      <c r="AI18" s="292">
        <f t="shared" ca="1" si="39"/>
        <v>2.7E-2</v>
      </c>
      <c r="AJ18" s="292">
        <f t="shared" ca="1" si="40"/>
        <v>12</v>
      </c>
      <c r="AK18" s="293" t="b">
        <f t="shared" ca="1" si="41"/>
        <v>1</v>
      </c>
      <c r="AL18" s="293" t="b">
        <f t="shared" ca="1" si="42"/>
        <v>1</v>
      </c>
      <c r="AM18" s="293" t="b">
        <f t="shared" ca="1" si="43"/>
        <v>1</v>
      </c>
      <c r="AN18" s="294" t="str">
        <f t="shared" ref="AN18:AN26" ca="1" si="51">IF($O18&lt;=$N$17,IF(AK18,"D",IF(AL18,"C1",IF(AM18,"B1","НЕТ"))),"---")</f>
        <v>D</v>
      </c>
      <c r="AO18" s="294" t="b">
        <f t="shared" ref="AO18:AO26" ca="1" si="52">IF($O18&lt;=$N$17,AND(AE18&lt;$M$18,NOT(AN18="НЕТ"),IF($E$25="Экономный",T18&lt;=3,IF(AND($E$25="Оптимальный",T18&gt;$E$50),T18&lt;=1.8,IF(AND($E$25="Затратный",T18&gt;$E$50),T18&lt;=1,T18&lt;=3)))),"---")</f>
        <v>0</v>
      </c>
      <c r="AP18" s="294" t="b">
        <f t="shared" ref="AP18:AP26" ca="1" si="53">IF($O18&lt;=$N$17,AND(AF18&lt;$M$18,NOT(AN18="НЕТ"),IF($E$25="Экономный",T18&lt;=3,IF(AND($E$25="Оптимальный",T18&gt;$E$50),T18&lt;=1.8,IF(AND($E$25="Затратный",T18&gt;$E$50),T18&lt;=1,T18&lt;=3)))),"---")</f>
        <v>0</v>
      </c>
      <c r="AQ18" s="299" t="s">
        <v>18</v>
      </c>
      <c r="AR18" s="300">
        <f ca="1">OFFSET(T17,IF(ISERROR(AO15),IF(ISERROR(AP15),"НЕТ",AP15),AO15)-1,0,1)</f>
        <v>2.2063680461559985</v>
      </c>
      <c r="AS18" s="41"/>
      <c r="AT18" s="91"/>
    </row>
    <row r="19" spans="2:55" ht="18" customHeight="1" x14ac:dyDescent="0.3">
      <c r="L19" s="302" t="s">
        <v>410</v>
      </c>
      <c r="M19" s="303">
        <f>$E$32</f>
        <v>50</v>
      </c>
      <c r="N19" s="88"/>
      <c r="O19" s="88">
        <v>3</v>
      </c>
      <c r="P19" s="93" t="str">
        <f t="shared" ca="1" si="27"/>
        <v>25-50</v>
      </c>
      <c r="Q19" s="93" t="str">
        <f t="shared" ca="1" si="28"/>
        <v>ПРЭМ-25</v>
      </c>
      <c r="R19" s="93">
        <f t="shared" ca="1" si="29"/>
        <v>25</v>
      </c>
      <c r="S19" s="93" t="str">
        <f t="shared" ca="1" si="44"/>
        <v>39,3</v>
      </c>
      <c r="T19" s="93">
        <f t="shared" ca="1" si="45"/>
        <v>3.6149134068219886</v>
      </c>
      <c r="U19" s="289">
        <f t="shared" ca="1" si="46"/>
        <v>225520.84075509262</v>
      </c>
      <c r="V19" s="289">
        <f t="shared" ca="1" si="47"/>
        <v>4.8560427292756572E-2</v>
      </c>
      <c r="W19" s="93">
        <f t="shared" ca="1" si="48"/>
        <v>1.6922755912707779E-2</v>
      </c>
      <c r="X19" s="93">
        <f t="shared" ca="1" si="49"/>
        <v>0.49683315067415684</v>
      </c>
      <c r="Y19" s="93">
        <f t="shared" ca="1" si="50"/>
        <v>1.6922755912707779E-2</v>
      </c>
      <c r="Z19" s="290">
        <f t="shared" ca="1" si="30"/>
        <v>0</v>
      </c>
      <c r="AA19" s="290">
        <f t="shared" ca="1" si="31"/>
        <v>0</v>
      </c>
      <c r="AB19" s="93">
        <f t="shared" ca="1" si="32"/>
        <v>0.48282205298535658</v>
      </c>
      <c r="AC19" s="291">
        <f t="shared" ca="1" si="33"/>
        <v>0</v>
      </c>
      <c r="AD19" s="93">
        <f t="shared" ca="1" si="34"/>
        <v>0</v>
      </c>
      <c r="AE19" s="93">
        <f t="shared" ca="1" si="35"/>
        <v>0.48282205298535658</v>
      </c>
      <c r="AF19" s="93">
        <f t="shared" ca="1" si="36"/>
        <v>0.48282205298535658</v>
      </c>
      <c r="AG19" s="292">
        <f t="shared" ca="1" si="37"/>
        <v>0.12</v>
      </c>
      <c r="AH19" s="292">
        <f t="shared" ca="1" si="38"/>
        <v>7.1999999999999995E-2</v>
      </c>
      <c r="AI19" s="292">
        <f t="shared" ca="1" si="39"/>
        <v>0.04</v>
      </c>
      <c r="AJ19" s="292">
        <f t="shared" ca="1" si="40"/>
        <v>18</v>
      </c>
      <c r="AK19" s="293" t="b">
        <f t="shared" ca="1" si="41"/>
        <v>1</v>
      </c>
      <c r="AL19" s="293" t="b">
        <f t="shared" ca="1" si="42"/>
        <v>1</v>
      </c>
      <c r="AM19" s="293" t="b">
        <f t="shared" ca="1" si="43"/>
        <v>1</v>
      </c>
      <c r="AN19" s="294" t="str">
        <f t="shared" ca="1" si="51"/>
        <v>D</v>
      </c>
      <c r="AO19" s="294" t="b">
        <f t="shared" ca="1" si="52"/>
        <v>0</v>
      </c>
      <c r="AP19" s="294" t="b">
        <f t="shared" ca="1" si="53"/>
        <v>0</v>
      </c>
      <c r="AQ19" s="65" t="s">
        <v>22</v>
      </c>
      <c r="AR19" s="300">
        <f ca="1">IF(ISERROR(AO15),IF(ISERROR(AP15),"НЕТ",OFFSET(AF17,AP15-1,0,1)),OFFSET(AE17,AO15-1,0,1))</f>
        <v>0.10379662583502043</v>
      </c>
      <c r="AS19" s="41"/>
      <c r="AT19" s="91"/>
    </row>
    <row r="20" spans="2:55" ht="18" customHeight="1" x14ac:dyDescent="0.3">
      <c r="L20" s="305" t="s">
        <v>71</v>
      </c>
      <c r="M20" s="306">
        <f>E47</f>
        <v>6.3880792887573055</v>
      </c>
      <c r="N20" s="88"/>
      <c r="O20" s="88">
        <v>4</v>
      </c>
      <c r="P20" s="93" t="str">
        <f t="shared" ca="1" si="27"/>
        <v>32-50</v>
      </c>
      <c r="Q20" s="93" t="str">
        <f t="shared" ca="1" si="28"/>
        <v>ПРЭМ-32</v>
      </c>
      <c r="R20" s="93">
        <f t="shared" ca="1" si="29"/>
        <v>32</v>
      </c>
      <c r="S20" s="93" t="str">
        <f t="shared" ca="1" si="44"/>
        <v>28,84</v>
      </c>
      <c r="T20" s="93">
        <f t="shared" ca="1" si="45"/>
        <v>2.2063680461559985</v>
      </c>
      <c r="U20" s="289">
        <f t="shared" ca="1" si="46"/>
        <v>176188.15683991605</v>
      </c>
      <c r="V20" s="289">
        <f t="shared" ca="1" si="47"/>
        <v>4.4277322004702871E-2</v>
      </c>
      <c r="W20" s="93">
        <f t="shared" ca="1" si="48"/>
        <v>1.8496325863946641E-2</v>
      </c>
      <c r="X20" s="93">
        <f t="shared" ca="1" si="49"/>
        <v>0.20423510163470199</v>
      </c>
      <c r="Y20" s="93">
        <f t="shared" ca="1" si="50"/>
        <v>1.8496325863946641E-2</v>
      </c>
      <c r="Z20" s="290">
        <f t="shared" ca="1" si="30"/>
        <v>0</v>
      </c>
      <c r="AA20" s="290">
        <f t="shared" ca="1" si="31"/>
        <v>0</v>
      </c>
      <c r="AB20" s="93">
        <f t="shared" ca="1" si="32"/>
        <v>0.10379662583502043</v>
      </c>
      <c r="AC20" s="291">
        <f t="shared" ca="1" si="33"/>
        <v>0</v>
      </c>
      <c r="AD20" s="93">
        <f t="shared" ca="1" si="34"/>
        <v>0</v>
      </c>
      <c r="AE20" s="93">
        <f t="shared" ca="1" si="35"/>
        <v>0.10379662583502043</v>
      </c>
      <c r="AF20" s="93">
        <f t="shared" ca="1" si="36"/>
        <v>0.10379662583502043</v>
      </c>
      <c r="AG20" s="292">
        <f t="shared" ca="1" si="37"/>
        <v>0.2</v>
      </c>
      <c r="AH20" s="292">
        <f t="shared" ca="1" si="38"/>
        <v>0.12</v>
      </c>
      <c r="AI20" s="292">
        <f t="shared" ca="1" si="39"/>
        <v>6.7000000000000004E-2</v>
      </c>
      <c r="AJ20" s="292">
        <f t="shared" ca="1" si="40"/>
        <v>30</v>
      </c>
      <c r="AK20" s="293" t="b">
        <f t="shared" ca="1" si="41"/>
        <v>1</v>
      </c>
      <c r="AL20" s="293" t="b">
        <f t="shared" ca="1" si="42"/>
        <v>1</v>
      </c>
      <c r="AM20" s="293" t="b">
        <f t="shared" ca="1" si="43"/>
        <v>1</v>
      </c>
      <c r="AN20" s="294" t="str">
        <f t="shared" ca="1" si="51"/>
        <v>D</v>
      </c>
      <c r="AO20" s="294" t="b">
        <f t="shared" ca="1" si="52"/>
        <v>1</v>
      </c>
      <c r="AP20" s="294" t="b">
        <f t="shared" ca="1" si="53"/>
        <v>1</v>
      </c>
      <c r="AQ20" s="307"/>
      <c r="AR20" s="308"/>
      <c r="AS20" s="41"/>
      <c r="AT20" s="91"/>
    </row>
    <row r="21" spans="2:55" ht="18" customHeight="1" x14ac:dyDescent="0.3">
      <c r="L21" s="305" t="s">
        <v>72</v>
      </c>
      <c r="M21" s="306">
        <f>E48</f>
        <v>3.1940396443786527</v>
      </c>
      <c r="N21" s="88"/>
      <c r="O21" s="88">
        <v>5</v>
      </c>
      <c r="P21" s="93" t="str">
        <f t="shared" ca="1" si="27"/>
        <v>40-50</v>
      </c>
      <c r="Q21" s="93" t="str">
        <f t="shared" ca="1" si="28"/>
        <v>ПРЭМ-40</v>
      </c>
      <c r="R21" s="93">
        <f t="shared" ca="1" si="29"/>
        <v>40</v>
      </c>
      <c r="S21" s="93" t="str">
        <f t="shared" ca="1" si="44"/>
        <v>11,42</v>
      </c>
      <c r="T21" s="93">
        <f t="shared" ca="1" si="45"/>
        <v>1.4120755495398392</v>
      </c>
      <c r="U21" s="289">
        <f t="shared" ca="1" si="46"/>
        <v>140950.52547193287</v>
      </c>
      <c r="V21" s="289">
        <f t="shared" ca="1" si="47"/>
        <v>4.0875226338606262E-2</v>
      </c>
      <c r="W21" s="93">
        <f t="shared" ca="1" si="48"/>
        <v>3.0319510161434582E-2</v>
      </c>
      <c r="X21" s="93">
        <f t="shared" ca="1" si="49"/>
        <v>2.3318371452135389E-2</v>
      </c>
      <c r="Y21" s="93">
        <f t="shared" ca="1" si="50"/>
        <v>3.0319510161434582E-2</v>
      </c>
      <c r="Z21" s="290">
        <f t="shared" ca="1" si="30"/>
        <v>0</v>
      </c>
      <c r="AA21" s="290">
        <f t="shared" ca="1" si="31"/>
        <v>0</v>
      </c>
      <c r="AB21" s="93">
        <f t="shared" ca="1" si="32"/>
        <v>2.5148893591357382E-2</v>
      </c>
      <c r="AC21" s="291">
        <f t="shared" ca="1" si="33"/>
        <v>0</v>
      </c>
      <c r="AD21" s="93">
        <f t="shared" ca="1" si="34"/>
        <v>0</v>
      </c>
      <c r="AE21" s="93">
        <f t="shared" ca="1" si="35"/>
        <v>2.5148893591357382E-2</v>
      </c>
      <c r="AF21" s="93">
        <f t="shared" ca="1" si="36"/>
        <v>2.5148893591357382E-2</v>
      </c>
      <c r="AG21" s="292">
        <f t="shared" ca="1" si="37"/>
        <v>0.3</v>
      </c>
      <c r="AH21" s="292">
        <f t="shared" ca="1" si="38"/>
        <v>0.18</v>
      </c>
      <c r="AI21" s="292">
        <f t="shared" ca="1" si="39"/>
        <v>0.1</v>
      </c>
      <c r="AJ21" s="292">
        <f t="shared" ca="1" si="40"/>
        <v>45</v>
      </c>
      <c r="AK21" s="293" t="b">
        <f t="shared" ca="1" si="41"/>
        <v>1</v>
      </c>
      <c r="AL21" s="293" t="b">
        <f t="shared" ca="1" si="42"/>
        <v>1</v>
      </c>
      <c r="AM21" s="293" t="b">
        <f t="shared" ca="1" si="43"/>
        <v>1</v>
      </c>
      <c r="AN21" s="294" t="str">
        <f t="shared" ca="1" si="51"/>
        <v>D</v>
      </c>
      <c r="AO21" s="294" t="b">
        <f t="shared" ca="1" si="52"/>
        <v>1</v>
      </c>
      <c r="AP21" s="294" t="b">
        <f t="shared" ca="1" si="53"/>
        <v>1</v>
      </c>
      <c r="AQ21" s="311"/>
      <c r="AR21" s="312"/>
      <c r="AS21" s="41"/>
      <c r="AT21" s="259"/>
    </row>
    <row r="22" spans="2:55" ht="18" customHeight="1" x14ac:dyDescent="0.3">
      <c r="L22" s="305" t="s">
        <v>73</v>
      </c>
      <c r="M22" s="315">
        <f>E60</f>
        <v>4.0072941759157111E-7</v>
      </c>
      <c r="N22" s="88"/>
      <c r="O22" s="88">
        <v>6</v>
      </c>
      <c r="P22" s="93" t="str">
        <f t="shared" ca="1" si="27"/>
        <v>50-50</v>
      </c>
      <c r="Q22" s="93" t="str">
        <f t="shared" ca="1" si="28"/>
        <v>ПРЭМ-50</v>
      </c>
      <c r="R22" s="93">
        <f t="shared" ca="1" si="29"/>
        <v>50</v>
      </c>
      <c r="S22" s="93">
        <f t="shared" ca="1" si="44"/>
        <v>0</v>
      </c>
      <c r="T22" s="93">
        <f t="shared" ca="1" si="45"/>
        <v>0.90372835170549715</v>
      </c>
      <c r="U22" s="289">
        <f t="shared" ca="1" si="46"/>
        <v>112760.42037754631</v>
      </c>
      <c r="V22" s="289">
        <f t="shared" ca="1" si="47"/>
        <v>3.7850686611455138E-2</v>
      </c>
      <c r="W22" s="93">
        <f t="shared" ca="1" si="48"/>
        <v>0</v>
      </c>
      <c r="X22" s="93">
        <f t="shared" ca="1" si="49"/>
        <v>0</v>
      </c>
      <c r="Y22" s="93">
        <f t="shared" ca="1" si="50"/>
        <v>0</v>
      </c>
      <c r="Z22" s="290">
        <f t="shared" ca="1" si="30"/>
        <v>0</v>
      </c>
      <c r="AA22" s="290">
        <f t="shared" ca="1" si="31"/>
        <v>0</v>
      </c>
      <c r="AB22" s="93">
        <f t="shared" ca="1" si="32"/>
        <v>6.3024667711201682E-3</v>
      </c>
      <c r="AC22" s="291">
        <f t="shared" ca="1" si="33"/>
        <v>0</v>
      </c>
      <c r="AD22" s="93">
        <f t="shared" ca="1" si="34"/>
        <v>0</v>
      </c>
      <c r="AE22" s="93">
        <f t="shared" ca="1" si="35"/>
        <v>6.3024667711201682E-3</v>
      </c>
      <c r="AF22" s="93">
        <f t="shared" ca="1" si="36"/>
        <v>6.3024667711201682E-3</v>
      </c>
      <c r="AG22" s="292">
        <f t="shared" ca="1" si="37"/>
        <v>0.48</v>
      </c>
      <c r="AH22" s="292">
        <f t="shared" ca="1" si="38"/>
        <v>0.28799999999999998</v>
      </c>
      <c r="AI22" s="292">
        <f t="shared" ca="1" si="39"/>
        <v>0.16</v>
      </c>
      <c r="AJ22" s="292">
        <f t="shared" ca="1" si="40"/>
        <v>72</v>
      </c>
      <c r="AK22" s="293" t="b">
        <f t="shared" ca="1" si="41"/>
        <v>1</v>
      </c>
      <c r="AL22" s="293" t="b">
        <f t="shared" ca="1" si="42"/>
        <v>1</v>
      </c>
      <c r="AM22" s="293" t="b">
        <f t="shared" ca="1" si="43"/>
        <v>1</v>
      </c>
      <c r="AN22" s="294" t="str">
        <f t="shared" ca="1" si="51"/>
        <v>D</v>
      </c>
      <c r="AO22" s="294" t="b">
        <f t="shared" ca="1" si="52"/>
        <v>1</v>
      </c>
      <c r="AP22" s="294" t="b">
        <f t="shared" ca="1" si="53"/>
        <v>1</v>
      </c>
      <c r="AQ22" s="91"/>
      <c r="AS22" s="41"/>
      <c r="AT22" s="259"/>
    </row>
    <row r="23" spans="2:55" ht="18" customHeight="1" thickBot="1" x14ac:dyDescent="0.35">
      <c r="L23" s="318" t="s">
        <v>102</v>
      </c>
      <c r="M23" s="319">
        <f>(M20/3.6)/((PI()*M19^2)/4000)</f>
        <v>0.90372835170549715</v>
      </c>
      <c r="O23" s="88">
        <v>7</v>
      </c>
      <c r="P23" s="93" t="str">
        <f t="shared" ca="1" si="27"/>
        <v>---</v>
      </c>
      <c r="Q23" s="93" t="str">
        <f t="shared" ca="1" si="28"/>
        <v>---</v>
      </c>
      <c r="R23" s="93" t="str">
        <f t="shared" ca="1" si="29"/>
        <v>---</v>
      </c>
      <c r="S23" s="93" t="str">
        <f t="shared" ca="1" si="44"/>
        <v>---</v>
      </c>
      <c r="T23" s="93" t="str">
        <f t="shared" ca="1" si="45"/>
        <v>---</v>
      </c>
      <c r="U23" s="289" t="str">
        <f t="shared" ca="1" si="46"/>
        <v>---</v>
      </c>
      <c r="V23" s="289" t="str">
        <f t="shared" ca="1" si="47"/>
        <v>---</v>
      </c>
      <c r="W23" s="93" t="str">
        <f t="shared" ca="1" si="48"/>
        <v>---</v>
      </c>
      <c r="X23" s="93" t="str">
        <f t="shared" ca="1" si="49"/>
        <v>---</v>
      </c>
      <c r="Y23" s="93" t="str">
        <f t="shared" ca="1" si="50"/>
        <v>---</v>
      </c>
      <c r="Z23" s="290" t="str">
        <f t="shared" ca="1" si="30"/>
        <v>---</v>
      </c>
      <c r="AA23" s="290" t="str">
        <f t="shared" ca="1" si="31"/>
        <v>---</v>
      </c>
      <c r="AB23" s="93" t="str">
        <f t="shared" ca="1" si="32"/>
        <v>--</v>
      </c>
      <c r="AC23" s="291" t="str">
        <f t="shared" ca="1" si="33"/>
        <v>--</v>
      </c>
      <c r="AD23" s="93" t="str">
        <f t="shared" ca="1" si="34"/>
        <v>--</v>
      </c>
      <c r="AE23" s="93" t="str">
        <f t="shared" ca="1" si="35"/>
        <v>---</v>
      </c>
      <c r="AF23" s="93" t="str">
        <f t="shared" ca="1" si="36"/>
        <v>---</v>
      </c>
      <c r="AG23" s="292" t="str">
        <f t="shared" ca="1" si="37"/>
        <v>---</v>
      </c>
      <c r="AH23" s="292" t="str">
        <f t="shared" ca="1" si="38"/>
        <v>---</v>
      </c>
      <c r="AI23" s="292" t="str">
        <f t="shared" ca="1" si="39"/>
        <v>---</v>
      </c>
      <c r="AJ23" s="292" t="str">
        <f t="shared" ca="1" si="40"/>
        <v>---</v>
      </c>
      <c r="AK23" s="293" t="str">
        <f t="shared" ca="1" si="41"/>
        <v>---</v>
      </c>
      <c r="AL23" s="293" t="str">
        <f t="shared" ca="1" si="42"/>
        <v>---</v>
      </c>
      <c r="AM23" s="293" t="str">
        <f t="shared" ca="1" si="43"/>
        <v>---</v>
      </c>
      <c r="AN23" s="294" t="str">
        <f t="shared" ca="1" si="51"/>
        <v>---</v>
      </c>
      <c r="AO23" s="294" t="str">
        <f t="shared" ca="1" si="52"/>
        <v>---</v>
      </c>
      <c r="AP23" s="294" t="str">
        <f t="shared" ca="1" si="53"/>
        <v>---</v>
      </c>
      <c r="AS23" s="41"/>
      <c r="AT23" s="259"/>
    </row>
    <row r="24" spans="2:55" ht="18" customHeight="1" thickBot="1" x14ac:dyDescent="0.35">
      <c r="O24" s="88">
        <v>8</v>
      </c>
      <c r="P24" s="93" t="str">
        <f t="shared" ca="1" si="27"/>
        <v>---</v>
      </c>
      <c r="Q24" s="93" t="str">
        <f t="shared" ca="1" si="28"/>
        <v>---</v>
      </c>
      <c r="R24" s="93" t="str">
        <f t="shared" ca="1" si="29"/>
        <v>---</v>
      </c>
      <c r="S24" s="93" t="str">
        <f t="shared" ca="1" si="44"/>
        <v>---</v>
      </c>
      <c r="T24" s="93" t="str">
        <f t="shared" ca="1" si="45"/>
        <v>---</v>
      </c>
      <c r="U24" s="289" t="str">
        <f t="shared" ca="1" si="46"/>
        <v>---</v>
      </c>
      <c r="V24" s="289" t="str">
        <f t="shared" ca="1" si="47"/>
        <v>---</v>
      </c>
      <c r="W24" s="93" t="str">
        <f t="shared" ca="1" si="48"/>
        <v>---</v>
      </c>
      <c r="X24" s="93" t="str">
        <f t="shared" ca="1" si="49"/>
        <v>---</v>
      </c>
      <c r="Y24" s="93" t="str">
        <f t="shared" ca="1" si="50"/>
        <v>---</v>
      </c>
      <c r="Z24" s="290" t="str">
        <f t="shared" ca="1" si="30"/>
        <v>---</v>
      </c>
      <c r="AA24" s="290" t="str">
        <f t="shared" ca="1" si="31"/>
        <v>---</v>
      </c>
      <c r="AB24" s="93" t="str">
        <f t="shared" ca="1" si="32"/>
        <v>--</v>
      </c>
      <c r="AC24" s="291" t="str">
        <f t="shared" ca="1" si="33"/>
        <v>--</v>
      </c>
      <c r="AD24" s="93" t="str">
        <f t="shared" ca="1" si="34"/>
        <v>--</v>
      </c>
      <c r="AE24" s="93" t="str">
        <f t="shared" ca="1" si="35"/>
        <v>---</v>
      </c>
      <c r="AF24" s="93" t="str">
        <f t="shared" ca="1" si="36"/>
        <v>---</v>
      </c>
      <c r="AG24" s="292" t="str">
        <f t="shared" ca="1" si="37"/>
        <v>---</v>
      </c>
      <c r="AH24" s="292" t="str">
        <f t="shared" ca="1" si="38"/>
        <v>---</v>
      </c>
      <c r="AI24" s="292" t="str">
        <f t="shared" ca="1" si="39"/>
        <v>---</v>
      </c>
      <c r="AJ24" s="292" t="str">
        <f t="shared" ca="1" si="40"/>
        <v>---</v>
      </c>
      <c r="AK24" s="293" t="str">
        <f t="shared" ca="1" si="41"/>
        <v>---</v>
      </c>
      <c r="AL24" s="293" t="str">
        <f t="shared" ca="1" si="42"/>
        <v>---</v>
      </c>
      <c r="AM24" s="293" t="str">
        <f t="shared" ca="1" si="43"/>
        <v>---</v>
      </c>
      <c r="AN24" s="294" t="str">
        <f t="shared" ca="1" si="51"/>
        <v>---</v>
      </c>
      <c r="AO24" s="294" t="str">
        <f t="shared" ca="1" si="52"/>
        <v>---</v>
      </c>
      <c r="AP24" s="294" t="str">
        <f t="shared" ca="1" si="53"/>
        <v>---</v>
      </c>
      <c r="AS24" s="41"/>
      <c r="AT24" s="259"/>
    </row>
    <row r="25" spans="2:55" ht="25" customHeight="1" thickBot="1" x14ac:dyDescent="0.35">
      <c r="B25" s="800" t="s">
        <v>447</v>
      </c>
      <c r="C25" s="801"/>
      <c r="D25" s="834"/>
      <c r="E25" s="831" t="s">
        <v>449</v>
      </c>
      <c r="F25" s="845"/>
      <c r="G25" s="846"/>
      <c r="O25" s="88">
        <v>9</v>
      </c>
      <c r="P25" s="93" t="str">
        <f t="shared" ca="1" si="27"/>
        <v>---</v>
      </c>
      <c r="Q25" s="93" t="str">
        <f t="shared" ca="1" si="28"/>
        <v>---</v>
      </c>
      <c r="R25" s="93" t="str">
        <f t="shared" ca="1" si="29"/>
        <v>---</v>
      </c>
      <c r="S25" s="93" t="str">
        <f t="shared" ca="1" si="44"/>
        <v>---</v>
      </c>
      <c r="T25" s="93" t="str">
        <f t="shared" ca="1" si="45"/>
        <v>---</v>
      </c>
      <c r="U25" s="289" t="str">
        <f t="shared" ca="1" si="46"/>
        <v>---</v>
      </c>
      <c r="V25" s="289" t="str">
        <f ca="1">IF(O25&lt;=$N$4,(1/(1.14+2*LOG((R25/$M$4),10))^2),"---")</f>
        <v>---</v>
      </c>
      <c r="W25" s="93" t="str">
        <f t="shared" ca="1" si="48"/>
        <v>---</v>
      </c>
      <c r="X25" s="93" t="str">
        <f t="shared" ca="1" si="49"/>
        <v>---</v>
      </c>
      <c r="Y25" s="93" t="str">
        <f t="shared" ca="1" si="50"/>
        <v>---</v>
      </c>
      <c r="Z25" s="290" t="str">
        <f t="shared" ca="1" si="30"/>
        <v>---</v>
      </c>
      <c r="AA25" s="290" t="str">
        <f t="shared" ca="1" si="31"/>
        <v>---</v>
      </c>
      <c r="AB25" s="93" t="str">
        <f t="shared" ca="1" si="32"/>
        <v>--</v>
      </c>
      <c r="AC25" s="291" t="str">
        <f t="shared" ca="1" si="33"/>
        <v>--</v>
      </c>
      <c r="AD25" s="93" t="str">
        <f t="shared" ca="1" si="34"/>
        <v>--</v>
      </c>
      <c r="AE25" s="93" t="str">
        <f t="shared" ca="1" si="35"/>
        <v>---</v>
      </c>
      <c r="AF25" s="93" t="str">
        <f t="shared" ca="1" si="36"/>
        <v>---</v>
      </c>
      <c r="AG25" s="292" t="str">
        <f t="shared" ca="1" si="37"/>
        <v>---</v>
      </c>
      <c r="AH25" s="292" t="str">
        <f t="shared" ca="1" si="38"/>
        <v>---</v>
      </c>
      <c r="AI25" s="292" t="str">
        <f t="shared" ca="1" si="39"/>
        <v>---</v>
      </c>
      <c r="AJ25" s="292" t="str">
        <f t="shared" ca="1" si="40"/>
        <v>---</v>
      </c>
      <c r="AK25" s="293" t="str">
        <f t="shared" ca="1" si="41"/>
        <v>---</v>
      </c>
      <c r="AL25" s="293" t="str">
        <f t="shared" ca="1" si="42"/>
        <v>---</v>
      </c>
      <c r="AM25" s="293" t="str">
        <f t="shared" ca="1" si="43"/>
        <v>---</v>
      </c>
      <c r="AN25" s="294" t="str">
        <f t="shared" ca="1" si="51"/>
        <v>---</v>
      </c>
      <c r="AO25" s="294" t="str">
        <f t="shared" ca="1" si="52"/>
        <v>---</v>
      </c>
      <c r="AP25" s="294" t="str">
        <f t="shared" ca="1" si="53"/>
        <v>---</v>
      </c>
      <c r="AT25" s="259"/>
    </row>
    <row r="26" spans="2:55" ht="18" customHeight="1" thickBot="1" x14ac:dyDescent="0.35">
      <c r="O26" s="88">
        <v>10</v>
      </c>
      <c r="P26" s="93" t="str">
        <f t="shared" ca="1" si="27"/>
        <v>---</v>
      </c>
      <c r="Q26" s="93" t="str">
        <f t="shared" ca="1" si="28"/>
        <v>---</v>
      </c>
      <c r="R26" s="93" t="str">
        <f t="shared" ca="1" si="29"/>
        <v>---</v>
      </c>
      <c r="S26" s="93" t="str">
        <f t="shared" ca="1" si="44"/>
        <v>---</v>
      </c>
      <c r="T26" s="93" t="str">
        <f t="shared" ca="1" si="45"/>
        <v>---</v>
      </c>
      <c r="U26" s="289" t="str">
        <f t="shared" ca="1" si="46"/>
        <v>---</v>
      </c>
      <c r="V26" s="289" t="str">
        <f ca="1">IF(O26&lt;=$N$4,(1/(1.14+2*LOG((R26/$M$4),10))^2),"---")</f>
        <v>---</v>
      </c>
      <c r="W26" s="93" t="str">
        <f t="shared" ca="1" si="48"/>
        <v>---</v>
      </c>
      <c r="X26" s="93" t="str">
        <f t="shared" ca="1" si="49"/>
        <v>---</v>
      </c>
      <c r="Y26" s="93" t="str">
        <f t="shared" ca="1" si="50"/>
        <v>---</v>
      </c>
      <c r="Z26" s="290" t="str">
        <f t="shared" ca="1" si="30"/>
        <v>---</v>
      </c>
      <c r="AA26" s="290" t="str">
        <f t="shared" ca="1" si="31"/>
        <v>---</v>
      </c>
      <c r="AB26" s="93" t="str">
        <f t="shared" ca="1" si="32"/>
        <v>--</v>
      </c>
      <c r="AC26" s="291" t="str">
        <f t="shared" ca="1" si="33"/>
        <v>--</v>
      </c>
      <c r="AD26" s="93" t="str">
        <f t="shared" ca="1" si="34"/>
        <v>--</v>
      </c>
      <c r="AE26" s="93" t="str">
        <f t="shared" ca="1" si="35"/>
        <v>---</v>
      </c>
      <c r="AF26" s="93" t="str">
        <f t="shared" ca="1" si="36"/>
        <v>---</v>
      </c>
      <c r="AG26" s="292" t="str">
        <f t="shared" ca="1" si="37"/>
        <v>---</v>
      </c>
      <c r="AH26" s="292" t="str">
        <f t="shared" ca="1" si="38"/>
        <v>---</v>
      </c>
      <c r="AI26" s="292" t="str">
        <f t="shared" ca="1" si="39"/>
        <v>---</v>
      </c>
      <c r="AJ26" s="292" t="str">
        <f t="shared" ca="1" si="40"/>
        <v>---</v>
      </c>
      <c r="AK26" s="293" t="str">
        <f t="shared" ca="1" si="41"/>
        <v>---</v>
      </c>
      <c r="AL26" s="293" t="str">
        <f t="shared" ca="1" si="42"/>
        <v>---</v>
      </c>
      <c r="AM26" s="293" t="str">
        <f t="shared" ca="1" si="43"/>
        <v>---</v>
      </c>
      <c r="AN26" s="294" t="str">
        <f t="shared" ca="1" si="51"/>
        <v>---</v>
      </c>
      <c r="AO26" s="294" t="str">
        <f t="shared" ca="1" si="52"/>
        <v>---</v>
      </c>
      <c r="AP26" s="294" t="str">
        <f t="shared" ca="1" si="53"/>
        <v>---</v>
      </c>
      <c r="AT26" s="91"/>
    </row>
    <row r="27" spans="2:55" ht="25" customHeight="1" thickBot="1" x14ac:dyDescent="0.45">
      <c r="B27" s="800" t="s">
        <v>17</v>
      </c>
      <c r="C27" s="801"/>
      <c r="D27" s="801"/>
      <c r="E27" s="122"/>
      <c r="F27" s="122"/>
      <c r="G27" s="121"/>
      <c r="Z27" s="322"/>
      <c r="AA27" s="322"/>
      <c r="AN27" s="41"/>
      <c r="AO27" s="41"/>
      <c r="AP27" s="39"/>
      <c r="AQ27" s="39"/>
      <c r="AR27" s="39"/>
      <c r="AS27" s="39"/>
      <c r="AT27" s="104"/>
    </row>
    <row r="28" spans="2:55" ht="18" customHeight="1" thickBot="1" x14ac:dyDescent="0.45">
      <c r="D28" s="811" t="s">
        <v>43</v>
      </c>
      <c r="E28" s="812"/>
      <c r="F28" s="324"/>
      <c r="G28" s="325" t="s">
        <v>42</v>
      </c>
      <c r="H28" s="8"/>
      <c r="N28" s="262"/>
      <c r="O28" s="263" t="s">
        <v>406</v>
      </c>
      <c r="P28" s="264">
        <f>MATCH(M32,DyTr_New,0)</f>
        <v>16</v>
      </c>
      <c r="Q28" s="265">
        <f ca="1">MATCH(TRUE,AO30:AO39,0)</f>
        <v>2</v>
      </c>
      <c r="R28" s="266" t="s">
        <v>103</v>
      </c>
      <c r="S28" s="267"/>
      <c r="U28" s="268">
        <f ca="1">MATCH(TRUE,AO30:AO39,0)</f>
        <v>2</v>
      </c>
      <c r="V28" s="269" t="s">
        <v>407</v>
      </c>
      <c r="W28" s="270"/>
      <c r="X28" s="270"/>
      <c r="Y28" s="270"/>
      <c r="Z28" s="838" t="s">
        <v>206</v>
      </c>
      <c r="AA28" s="838"/>
      <c r="AB28" s="258"/>
      <c r="AG28" s="826" t="s">
        <v>75</v>
      </c>
      <c r="AH28" s="826"/>
      <c r="AI28" s="826"/>
      <c r="AJ28" s="271" t="s">
        <v>66</v>
      </c>
      <c r="AK28" s="810" t="s">
        <v>65</v>
      </c>
      <c r="AL28" s="810"/>
      <c r="AM28" s="810"/>
      <c r="AN28" s="272"/>
      <c r="AO28" s="273">
        <f ca="1">MATCH(TRUE,AO30:AO39,0)</f>
        <v>2</v>
      </c>
      <c r="AP28" s="273">
        <f ca="1">MATCH(TRUE,AP30:AP39,0)</f>
        <v>2</v>
      </c>
      <c r="AQ28" s="802" t="s">
        <v>69</v>
      </c>
      <c r="AR28" s="803"/>
      <c r="AS28" s="259"/>
      <c r="AT28" s="259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2:55" ht="18" customHeight="1" thickBot="1" x14ac:dyDescent="0.45">
      <c r="B29" s="821" t="s">
        <v>68</v>
      </c>
      <c r="C29" s="822"/>
      <c r="D29" s="841">
        <v>0.5</v>
      </c>
      <c r="E29" s="842"/>
      <c r="F29" s="326"/>
      <c r="G29" s="76">
        <v>0.2</v>
      </c>
      <c r="H29" s="56"/>
      <c r="L29" s="277" t="s">
        <v>77</v>
      </c>
      <c r="M29" s="278" t="s">
        <v>90</v>
      </c>
      <c r="N29" s="279" t="s">
        <v>97</v>
      </c>
      <c r="O29" s="88"/>
      <c r="P29" s="280" t="s">
        <v>93</v>
      </c>
      <c r="Q29" s="280" t="s">
        <v>92</v>
      </c>
      <c r="R29" s="280" t="s">
        <v>408</v>
      </c>
      <c r="S29" s="66" t="s">
        <v>61</v>
      </c>
      <c r="T29" s="280" t="s">
        <v>18</v>
      </c>
      <c r="U29" s="63" t="s">
        <v>20</v>
      </c>
      <c r="V29" s="62" t="s">
        <v>21</v>
      </c>
      <c r="W29" s="63" t="s">
        <v>62</v>
      </c>
      <c r="X29" s="64" t="s">
        <v>63</v>
      </c>
      <c r="Y29" s="64" t="s">
        <v>64</v>
      </c>
      <c r="Z29" s="117" t="s">
        <v>204</v>
      </c>
      <c r="AA29" s="117" t="s">
        <v>205</v>
      </c>
      <c r="AB29" s="63" t="s">
        <v>227</v>
      </c>
      <c r="AC29" s="63" t="s">
        <v>225</v>
      </c>
      <c r="AD29" s="63" t="s">
        <v>226</v>
      </c>
      <c r="AE29" s="63" t="s">
        <v>228</v>
      </c>
      <c r="AF29" s="63" t="s">
        <v>229</v>
      </c>
      <c r="AG29" s="281" t="s">
        <v>351</v>
      </c>
      <c r="AH29" s="281" t="s">
        <v>352</v>
      </c>
      <c r="AI29" s="281" t="s">
        <v>353</v>
      </c>
      <c r="AJ29" s="281"/>
      <c r="AK29" s="281" t="s">
        <v>351</v>
      </c>
      <c r="AL29" s="281" t="s">
        <v>352</v>
      </c>
      <c r="AM29" s="281" t="s">
        <v>353</v>
      </c>
      <c r="AN29" s="281" t="s">
        <v>67</v>
      </c>
      <c r="AO29" s="281" t="s">
        <v>230</v>
      </c>
      <c r="AP29" s="281" t="s">
        <v>231</v>
      </c>
      <c r="AQ29" s="282" t="s">
        <v>409</v>
      </c>
      <c r="AR29" s="283" t="str">
        <f ca="1">IF(ISERROR(AO28),IF(ISERROR(AP28),"НЕТ",OFFSET(Q30,AP28-1,0,1)&amp;"-"&amp;OFFSET(AN30,AP28-1,0,1)&amp;"-Фланец"),OFFSET(Q30,AO28-1,0,1)&amp;"-"&amp;OFFSET(AN30,AO28-1,0,1)&amp;"-Cэндвич")</f>
        <v>ПРЭМ-20-D-Cэндвич</v>
      </c>
      <c r="AT29" s="284" t="str">
        <f ca="1">IF(ISERROR(AO28),IF(ISERROR(AP28),"НЕТ",OFFSET(Q30,AP28-1,0,1)&amp;"-"&amp;OFFSET(AN30,AP28-1,0,1)),OFFSET(Q30,AO28-1,0,1)&amp;"-"&amp;OFFSET(AN30,AO28-1,0,1))</f>
        <v>ПРЭМ-20-D</v>
      </c>
      <c r="AU29" s="18"/>
      <c r="AV29" s="18"/>
      <c r="AW29" s="18"/>
      <c r="AX29" s="18"/>
      <c r="AY29" s="18"/>
      <c r="AZ29" s="18"/>
      <c r="BA29" s="18"/>
      <c r="BB29" s="18"/>
      <c r="BC29" s="18"/>
    </row>
    <row r="30" spans="2:55" ht="18" customHeight="1" thickBot="1" x14ac:dyDescent="0.45">
      <c r="B30" s="821" t="s">
        <v>31</v>
      </c>
      <c r="C30" s="822"/>
      <c r="D30" s="804" t="s">
        <v>32</v>
      </c>
      <c r="E30" s="805"/>
      <c r="F30" s="327"/>
      <c r="G30" s="72">
        <v>75</v>
      </c>
      <c r="H30" s="56"/>
      <c r="L30" s="287" t="s">
        <v>74</v>
      </c>
      <c r="M30" s="288">
        <v>0.5</v>
      </c>
      <c r="N30" s="88">
        <f ca="1">OFFSET(DyTr_New,P28-1,1,1)</f>
        <v>6</v>
      </c>
      <c r="O30" s="88">
        <v>1</v>
      </c>
      <c r="P30" s="93" t="str">
        <f t="shared" ref="P30:P39" ca="1" si="54">IF(O30&lt;=$N$30,OFFSET(DyTr_New,$P$28-2+O30,4,1),"---")</f>
        <v>15-50</v>
      </c>
      <c r="Q30" s="93" t="str">
        <f t="shared" ref="Q30:Q39" ca="1" si="55">IF(O30&lt;=$N$30,OFFSET(DyTr_New,$P$28-2+O30,2,1),"---")</f>
        <v>ПРЭМ-15</v>
      </c>
      <c r="R30" s="93">
        <f t="shared" ref="R30:R39" ca="1" si="56">IF(O30&lt;=$N$30,OFFSET(DyTr_New,$P$28-2+O30,5,1),"---")</f>
        <v>15</v>
      </c>
      <c r="S30" s="93" t="str">
        <f t="shared" ref="S30:S39" ca="1" si="57">IF(O30&lt;=$N$30,OFFSET(DyTr_New,$P$28-2+O30,6,1),"---")</f>
        <v>30,14</v>
      </c>
      <c r="T30" s="93">
        <f ca="1">IF(O30&lt;=$N$30,($M$33/3.6)/((PI()*R30^2)/4000),"---")</f>
        <v>4.6046692858016289</v>
      </c>
      <c r="U30" s="289">
        <f ca="1">IF(O30&lt;=$N$30,(T30*R30/$M$35/1000),"---")</f>
        <v>185116.43605261849</v>
      </c>
      <c r="V30" s="289">
        <f ca="1">IF(O30&lt;=$N$30,(1/(1.14+2*LOG((R30/$M$30),10))^2),"---")</f>
        <v>5.9655827422120798E-2</v>
      </c>
      <c r="W30" s="93">
        <f ca="1">IF(O30&lt;=$N$30,(IF(S30=0,0,(V30/(8*SIN(RADIANS(S30/2))))*(1-(R30/$M$32)^4))),"---")</f>
        <v>2.8448487298016373E-2</v>
      </c>
      <c r="X30" s="93">
        <f ca="1">IF(O30&lt;=$N$30,(3.2*TAN(RADIANS(S30/2))^1.25*(1-(R30/$M$32)^2)^2),"---")</f>
        <v>0.51397936922726728</v>
      </c>
      <c r="Y30" s="93">
        <f ca="1">IF(O30&lt;=$N$30,(IF(S30=0,0,V30/(8*SIN(RADIANS(S30/2)))*(1-(R30/$M$32)^4))),"---")</f>
        <v>2.8448487298016373E-2</v>
      </c>
      <c r="Z30" s="290">
        <f t="shared" ref="Z30:Z39" ca="1" si="58">IF(O30&lt;=$N$30,VLOOKUP(Q30&amp;"-Сэндвич",TypePFlow,3,FALSE),"---")</f>
        <v>0</v>
      </c>
      <c r="AA30" s="290">
        <f t="shared" ref="AA30:AA39" ca="1" si="59">IF(O30&lt;=$N$30,VLOOKUP(Q30&amp;"-Фланец",TypePFlow,3,FALSE),"---")</f>
        <v>0</v>
      </c>
      <c r="AB30" s="93">
        <f t="shared" ref="AB30:AB39" ca="1" si="60">IF(O30&lt;=$N$30,(V30*4+W30+X30+Y30)*T30^2/(2*9.81),"--")</f>
        <v>0.87481163819580476</v>
      </c>
      <c r="AC30" s="291">
        <f t="shared" ref="AC30:AC39" ca="1" si="61">IF(O30&lt;=$N$30,(Z30*$M$33^2),"--")</f>
        <v>0</v>
      </c>
      <c r="AD30" s="93">
        <f t="shared" ref="AD30:AD39" ca="1" si="62">IF(O30&lt;=$N$30,(AA30*$M$33^2),"--")</f>
        <v>0</v>
      </c>
      <c r="AE30" s="93">
        <f t="shared" ref="AE30:AE39" ca="1" si="63">IF(O30&lt;=$N$30,(AB30+AC30),"---")</f>
        <v>0.87481163819580476</v>
      </c>
      <c r="AF30" s="93">
        <f t="shared" ref="AF30:AF39" ca="1" si="64">IF(O30&lt;=$N$30,(AB30+AD30),"---")</f>
        <v>0.87481163819580476</v>
      </c>
      <c r="AG30" s="292">
        <f t="shared" ref="AG30:AG39" ca="1" si="65">IF(O30&lt;=$N$30,VLOOKUP(Q30&amp;"-D",ParamPiterflow,2,FALSE),"---")</f>
        <v>0.04</v>
      </c>
      <c r="AH30" s="292">
        <f t="shared" ref="AH30:AH39" ca="1" si="66">IF(O30&lt;=$N$30,VLOOKUP(Q30&amp;"-C1",ParamPiterflow,2,FALSE),"---")</f>
        <v>2.4E-2</v>
      </c>
      <c r="AI30" s="292">
        <f t="shared" ref="AI30:AI39" ca="1" si="67">IF(O30&lt;=$N$30,VLOOKUP(Q30&amp;"-B1",ParamPiterflow,2,FALSE),"---")</f>
        <v>1.2999999999999999E-2</v>
      </c>
      <c r="AJ30" s="292">
        <f t="shared" ref="AJ30:AJ39" ca="1" si="68">IF(O30&lt;=$N$30,VLOOKUP(Q30&amp;"-D",ParamPiterflow,4,FALSE),"---")</f>
        <v>6</v>
      </c>
      <c r="AK30" s="293" t="b">
        <f t="shared" ref="AK30:AK39" ca="1" si="69">IF($O30&lt;=$N$30,AND(AG30&lt;$M$34,$AJ30&gt;$M$33),"---")</f>
        <v>1</v>
      </c>
      <c r="AL30" s="293" t="b">
        <f t="shared" ref="AL30:AL39" ca="1" si="70">IF($O30&lt;=$N$30,AND(AH30&lt;$M$34,$AJ30&gt;$M$33),"---")</f>
        <v>1</v>
      </c>
      <c r="AM30" s="293" t="b">
        <f t="shared" ref="AM30:AM39" ca="1" si="71">IF($O30&lt;=$N$30,AND(AI30&lt;$M$34,$AJ30&gt;$M$33),"---")</f>
        <v>1</v>
      </c>
      <c r="AN30" s="294" t="str">
        <f ca="1">IF($O30&lt;=$N$30,IF(AK30,"D",IF(AL30,"C1",IF(AM30,"B1","НЕТ"))),"---")</f>
        <v>D</v>
      </c>
      <c r="AO30" s="294" t="b">
        <f ca="1">IF($O30&lt;=$N$30,AND(AE30&lt;$M$31,NOT(AN30="НЕТ"),IF($E$25="Экономный",T30&lt;=3,IF(AND($E$25="Оптимальный",T30&gt;$G$50),T30&lt;=1.8,IF(AND($E$25="Затратный",T30&gt;$G$50),T30&lt;=1,T30&lt;=3)))),"---")</f>
        <v>0</v>
      </c>
      <c r="AP30" s="294" t="b">
        <f ca="1">IF($O30&lt;=$N$30,AND(AF30&lt;$M$31,NOT(AN30="НЕТ"),IF($E$25="Экономный",T30&lt;=3,IF(AND($E$25="Оптимальный",T30&gt;$G$50),T30&lt;=1.8,IF(AND($E$25="Затратный",T30&gt;$G$50),T30&lt;=1,T30&lt;=3)))),"---")</f>
        <v>0</v>
      </c>
      <c r="AQ30" s="295"/>
      <c r="AR30" s="296"/>
      <c r="AS30" s="259"/>
      <c r="AT30" s="259">
        <f ca="1">IF(ISERROR(AO28),IF(ISERROR(AP28),"НЕТ",AP28),AO28)</f>
        <v>2</v>
      </c>
      <c r="AU30" s="21"/>
      <c r="AV30" s="21"/>
      <c r="AW30" s="21"/>
      <c r="AX30" s="21"/>
      <c r="AY30" s="21"/>
      <c r="AZ30" s="21"/>
      <c r="BA30" s="21"/>
      <c r="BB30" s="21"/>
      <c r="BC30" s="21"/>
    </row>
    <row r="31" spans="2:55" ht="18" customHeight="1" x14ac:dyDescent="0.4">
      <c r="B31" s="821" t="s">
        <v>23</v>
      </c>
      <c r="C31" s="822"/>
      <c r="D31" s="94">
        <v>0.5</v>
      </c>
      <c r="E31" s="94">
        <v>0.5</v>
      </c>
      <c r="F31" s="328"/>
      <c r="G31" s="25">
        <v>0.5</v>
      </c>
      <c r="H31" s="329"/>
      <c r="L31" s="297" t="s">
        <v>189</v>
      </c>
      <c r="M31" s="298">
        <f>G31</f>
        <v>0.5</v>
      </c>
      <c r="N31" s="88"/>
      <c r="O31" s="88">
        <v>2</v>
      </c>
      <c r="P31" s="93" t="str">
        <f t="shared" ca="1" si="54"/>
        <v>20-50</v>
      </c>
      <c r="Q31" s="93" t="str">
        <f t="shared" ca="1" si="55"/>
        <v>ПРЭМ-20</v>
      </c>
      <c r="R31" s="93">
        <f t="shared" ca="1" si="56"/>
        <v>20</v>
      </c>
      <c r="S31" s="93" t="str">
        <f t="shared" ca="1" si="57"/>
        <v>46,4</v>
      </c>
      <c r="T31" s="93">
        <f t="shared" ref="T31:T39" ca="1" si="72">IF(O31&lt;=$N$30,($M$33/3.6)/((PI()*R31^2)/4000),"---")</f>
        <v>2.5901264732634162</v>
      </c>
      <c r="U31" s="289">
        <f t="shared" ref="U31:U39" ca="1" si="73">IF(O31&lt;=$N$30,(T31*R31/$M$35/1000),"---")</f>
        <v>138837.32703946388</v>
      </c>
      <c r="V31" s="289">
        <f t="shared" ref="V31:V39" ca="1" si="74">IF(O31&lt;=$N$30,(1/(1.14+2*LOG((R31/$M$30),10))^2),"---")</f>
        <v>5.2990299783484442E-2</v>
      </c>
      <c r="W31" s="93">
        <f t="shared" ref="W31:W39" ca="1" si="75">IF(O31&lt;=$N$30,(IF(S31=0,0,(V31/(8*SIN(RADIANS(S31/2))))*(1-(R31/$M$32)^4))),"---")</f>
        <v>1.6383680833374978E-2</v>
      </c>
      <c r="X31" s="93">
        <f t="shared" ref="X31:X39" ca="1" si="76">IF(O31&lt;=$N$30,(3.2*TAN(RADIANS(S31/2))^1.25*(1-(R31/$M$32)^2)^2),"---")</f>
        <v>0.78302287976523621</v>
      </c>
      <c r="Y31" s="93">
        <f t="shared" ref="Y31:Y39" ca="1" si="77">IF(O31&lt;=$N$30,(IF(S31=0,0,V31/(8*SIN(RADIANS(S31/2)))*(1-(R31/$M$32)^4))),"---")</f>
        <v>1.6383680833374978E-2</v>
      </c>
      <c r="Z31" s="290">
        <f t="shared" ca="1" si="58"/>
        <v>0</v>
      </c>
      <c r="AA31" s="290">
        <f t="shared" ca="1" si="59"/>
        <v>0</v>
      </c>
      <c r="AB31" s="93">
        <f t="shared" ca="1" si="60"/>
        <v>0.35142368844277089</v>
      </c>
      <c r="AC31" s="291">
        <f t="shared" ca="1" si="61"/>
        <v>0</v>
      </c>
      <c r="AD31" s="93">
        <f t="shared" ca="1" si="62"/>
        <v>0</v>
      </c>
      <c r="AE31" s="93">
        <f t="shared" ca="1" si="63"/>
        <v>0.35142368844277089</v>
      </c>
      <c r="AF31" s="93">
        <f t="shared" ca="1" si="64"/>
        <v>0.35142368844277089</v>
      </c>
      <c r="AG31" s="292">
        <f t="shared" ca="1" si="65"/>
        <v>0.08</v>
      </c>
      <c r="AH31" s="292">
        <f t="shared" ca="1" si="66"/>
        <v>4.8000000000000001E-2</v>
      </c>
      <c r="AI31" s="292">
        <f t="shared" ca="1" si="67"/>
        <v>2.7E-2</v>
      </c>
      <c r="AJ31" s="292">
        <f t="shared" ca="1" si="68"/>
        <v>12</v>
      </c>
      <c r="AK31" s="293" t="b">
        <f t="shared" ca="1" si="69"/>
        <v>1</v>
      </c>
      <c r="AL31" s="293" t="b">
        <f t="shared" ca="1" si="70"/>
        <v>1</v>
      </c>
      <c r="AM31" s="293" t="b">
        <f t="shared" ca="1" si="71"/>
        <v>1</v>
      </c>
      <c r="AN31" s="294" t="str">
        <f t="shared" ref="AN31:AN39" ca="1" si="78">IF($O31&lt;=$N$30,IF(AK31,"D",IF(AL31,"C1",IF(AM31,"B1","НЕТ"))),"---")</f>
        <v>D</v>
      </c>
      <c r="AO31" s="294" t="b">
        <f t="shared" ref="AO31:AO39" ca="1" si="79">IF($O31&lt;=$N$30,AND(AE31&lt;$M$31,NOT(AN31="НЕТ"),IF($E$25="Экономный",T31&lt;=3,IF(AND($E$25="Оптимальный",T31&gt;$G$50),T31&lt;=1.8,IF(AND($E$25="Затратный",T31&gt;$G$50),T31&lt;=1,T31&lt;=3)))),"---")</f>
        <v>1</v>
      </c>
      <c r="AP31" s="294" t="b">
        <f t="shared" ref="AP31:AP39" ca="1" si="80">IF($O31&lt;=$N$30,AND(AF31&lt;$M$31,NOT(AN31="НЕТ"),IF($E$25="Экономный",T31&lt;=3,IF(AND($E$25="Оптимальный",T31&gt;$G$50),T31&lt;=1.8,IF(AND($E$25="Затратный",T31&gt;$G$50),T31&lt;=1,T31&lt;=3)))),"---")</f>
        <v>1</v>
      </c>
      <c r="AQ31" s="299" t="s">
        <v>18</v>
      </c>
      <c r="AR31" s="300">
        <f ca="1">OFFSET(T30,IF(ISERROR(AO28),IF(ISERROR(AP28),"НЕТ",AP28),AO28)-1,0,1)</f>
        <v>2.5901264732634162</v>
      </c>
      <c r="AS31" s="259"/>
      <c r="AT31" s="259"/>
      <c r="AU31" s="18"/>
      <c r="AV31" s="18"/>
      <c r="AW31" s="18"/>
      <c r="AX31" s="18"/>
      <c r="AY31" s="18"/>
      <c r="AZ31" s="18"/>
      <c r="BA31" s="18"/>
      <c r="BB31" s="18"/>
    </row>
    <row r="32" spans="2:55" ht="18" customHeight="1" x14ac:dyDescent="0.4">
      <c r="B32" s="821" t="s">
        <v>412</v>
      </c>
      <c r="C32" s="822"/>
      <c r="D32" s="15">
        <v>50</v>
      </c>
      <c r="E32" s="15">
        <v>50</v>
      </c>
      <c r="F32" s="330"/>
      <c r="G32" s="15">
        <v>50</v>
      </c>
      <c r="H32" s="329"/>
      <c r="L32" s="302" t="s">
        <v>410</v>
      </c>
      <c r="M32" s="303">
        <f>$G$32</f>
        <v>50</v>
      </c>
      <c r="N32" s="88"/>
      <c r="O32" s="88">
        <v>3</v>
      </c>
      <c r="P32" s="93" t="str">
        <f t="shared" ca="1" si="54"/>
        <v>25-50</v>
      </c>
      <c r="Q32" s="93" t="str">
        <f t="shared" ca="1" si="55"/>
        <v>ПРЭМ-25</v>
      </c>
      <c r="R32" s="93">
        <f t="shared" ca="1" si="56"/>
        <v>25</v>
      </c>
      <c r="S32" s="93" t="str">
        <f t="shared" ca="1" si="57"/>
        <v>39,3</v>
      </c>
      <c r="T32" s="93">
        <f t="shared" ca="1" si="72"/>
        <v>1.6576809428885864</v>
      </c>
      <c r="U32" s="289">
        <f t="shared" ca="1" si="73"/>
        <v>111069.8616315711</v>
      </c>
      <c r="V32" s="289">
        <f t="shared" ca="1" si="74"/>
        <v>4.8560427292756572E-2</v>
      </c>
      <c r="W32" s="93">
        <f t="shared" ca="1" si="75"/>
        <v>1.6922755912707779E-2</v>
      </c>
      <c r="X32" s="93">
        <f t="shared" ca="1" si="76"/>
        <v>0.49683315067415684</v>
      </c>
      <c r="Y32" s="93">
        <f t="shared" ca="1" si="77"/>
        <v>1.6922755912707779E-2</v>
      </c>
      <c r="Z32" s="290">
        <f t="shared" ca="1" si="58"/>
        <v>0</v>
      </c>
      <c r="AA32" s="290">
        <f t="shared" ca="1" si="59"/>
        <v>0</v>
      </c>
      <c r="AB32" s="93">
        <f t="shared" ca="1" si="60"/>
        <v>0.10152972056212178</v>
      </c>
      <c r="AC32" s="291">
        <f t="shared" ca="1" si="61"/>
        <v>0</v>
      </c>
      <c r="AD32" s="93">
        <f t="shared" ca="1" si="62"/>
        <v>0</v>
      </c>
      <c r="AE32" s="93">
        <f t="shared" ca="1" si="63"/>
        <v>0.10152972056212178</v>
      </c>
      <c r="AF32" s="93">
        <f t="shared" ca="1" si="64"/>
        <v>0.10152972056212178</v>
      </c>
      <c r="AG32" s="292">
        <f t="shared" ca="1" si="65"/>
        <v>0.12</v>
      </c>
      <c r="AH32" s="292">
        <f t="shared" ca="1" si="66"/>
        <v>7.1999999999999995E-2</v>
      </c>
      <c r="AI32" s="292">
        <f t="shared" ca="1" si="67"/>
        <v>0.04</v>
      </c>
      <c r="AJ32" s="292">
        <f t="shared" ca="1" si="68"/>
        <v>18</v>
      </c>
      <c r="AK32" s="293" t="b">
        <f t="shared" ca="1" si="69"/>
        <v>0</v>
      </c>
      <c r="AL32" s="293" t="b">
        <f t="shared" ca="1" si="70"/>
        <v>1</v>
      </c>
      <c r="AM32" s="293" t="b">
        <f t="shared" ca="1" si="71"/>
        <v>1</v>
      </c>
      <c r="AN32" s="294" t="str">
        <f t="shared" ca="1" si="78"/>
        <v>C1</v>
      </c>
      <c r="AO32" s="294" t="b">
        <f t="shared" ca="1" si="79"/>
        <v>1</v>
      </c>
      <c r="AP32" s="294" t="b">
        <f t="shared" ca="1" si="80"/>
        <v>1</v>
      </c>
      <c r="AQ32" s="65" t="s">
        <v>22</v>
      </c>
      <c r="AR32" s="300">
        <f ca="1">IF(ISERROR(AO28),IF(ISERROR(AP28),"НЕТ",OFFSET(AF30,AP28-1,0,1)),OFFSET(AE30,AO28-1,0,1))</f>
        <v>0.35142368844277089</v>
      </c>
      <c r="AS32" s="304"/>
      <c r="AT32" s="91">
        <f ca="1">IF(ISERROR(AO28),IF(ISERROR(AP28),"НЕТ",OFFSET(AF30,AP28-1,0,1)),OFFSET(AE30,AO28-1,0,1))</f>
        <v>0.35142368844277089</v>
      </c>
      <c r="AU32" s="22"/>
      <c r="AV32" s="22"/>
      <c r="AW32" s="22"/>
      <c r="AX32" s="22"/>
      <c r="AY32" s="22"/>
      <c r="AZ32" s="22"/>
      <c r="BA32" s="22"/>
      <c r="BB32" s="22"/>
    </row>
    <row r="33" spans="1:55" ht="18" customHeight="1" thickBot="1" x14ac:dyDescent="0.45">
      <c r="B33" s="817" t="s">
        <v>30</v>
      </c>
      <c r="C33" s="818"/>
      <c r="D33" s="16">
        <v>7</v>
      </c>
      <c r="E33" s="16">
        <v>5</v>
      </c>
      <c r="F33" s="330"/>
      <c r="G33" s="16">
        <v>5</v>
      </c>
      <c r="H33" s="329"/>
      <c r="L33" s="305" t="s">
        <v>71</v>
      </c>
      <c r="M33" s="306">
        <f>G47</f>
        <v>2.9293640280982038</v>
      </c>
      <c r="N33" s="88"/>
      <c r="O33" s="88">
        <v>4</v>
      </c>
      <c r="P33" s="93" t="str">
        <f t="shared" ca="1" si="54"/>
        <v>32-50</v>
      </c>
      <c r="Q33" s="93" t="str">
        <f t="shared" ca="1" si="55"/>
        <v>ПРЭМ-32</v>
      </c>
      <c r="R33" s="93">
        <f t="shared" ca="1" si="56"/>
        <v>32</v>
      </c>
      <c r="S33" s="93" t="str">
        <f t="shared" ca="1" si="57"/>
        <v>28,84</v>
      </c>
      <c r="T33" s="93">
        <f t="shared" ca="1" si="72"/>
        <v>1.0117681536185219</v>
      </c>
      <c r="U33" s="289">
        <f t="shared" ca="1" si="73"/>
        <v>86773.32939966493</v>
      </c>
      <c r="V33" s="289">
        <f t="shared" ca="1" si="74"/>
        <v>4.4277322004702871E-2</v>
      </c>
      <c r="W33" s="93">
        <f t="shared" ca="1" si="75"/>
        <v>1.8496325863946641E-2</v>
      </c>
      <c r="X33" s="93">
        <f t="shared" ca="1" si="76"/>
        <v>0.20423510163470199</v>
      </c>
      <c r="Y33" s="93">
        <f t="shared" ca="1" si="77"/>
        <v>1.8496325863946641E-2</v>
      </c>
      <c r="Z33" s="290">
        <f t="shared" ca="1" si="58"/>
        <v>0</v>
      </c>
      <c r="AA33" s="290">
        <f t="shared" ca="1" si="59"/>
        <v>0</v>
      </c>
      <c r="AB33" s="93">
        <f t="shared" ca="1" si="60"/>
        <v>2.1826762781774499E-2</v>
      </c>
      <c r="AC33" s="291">
        <f t="shared" ca="1" si="61"/>
        <v>0</v>
      </c>
      <c r="AD33" s="93">
        <f t="shared" ca="1" si="62"/>
        <v>0</v>
      </c>
      <c r="AE33" s="93">
        <f t="shared" ca="1" si="63"/>
        <v>2.1826762781774499E-2</v>
      </c>
      <c r="AF33" s="93">
        <f t="shared" ca="1" si="64"/>
        <v>2.1826762781774499E-2</v>
      </c>
      <c r="AG33" s="292">
        <f t="shared" ca="1" si="65"/>
        <v>0.2</v>
      </c>
      <c r="AH33" s="292">
        <f t="shared" ca="1" si="66"/>
        <v>0.12</v>
      </c>
      <c r="AI33" s="292">
        <f t="shared" ca="1" si="67"/>
        <v>6.7000000000000004E-2</v>
      </c>
      <c r="AJ33" s="292">
        <f t="shared" ca="1" si="68"/>
        <v>30</v>
      </c>
      <c r="AK33" s="293" t="b">
        <f t="shared" ca="1" si="69"/>
        <v>0</v>
      </c>
      <c r="AL33" s="293" t="b">
        <f t="shared" ca="1" si="70"/>
        <v>0</v>
      </c>
      <c r="AM33" s="293" t="b">
        <f t="shared" ca="1" si="71"/>
        <v>1</v>
      </c>
      <c r="AN33" s="294" t="str">
        <f t="shared" ca="1" si="78"/>
        <v>B1</v>
      </c>
      <c r="AO33" s="294" t="b">
        <f t="shared" ca="1" si="79"/>
        <v>1</v>
      </c>
      <c r="AP33" s="294" t="b">
        <f t="shared" ca="1" si="80"/>
        <v>1</v>
      </c>
      <c r="AQ33" s="307"/>
      <c r="AR33" s="308"/>
      <c r="AS33" s="309"/>
      <c r="AT33" s="310"/>
      <c r="AU33" s="36"/>
      <c r="AV33" s="36"/>
      <c r="AW33" s="36"/>
      <c r="AX33" s="36"/>
      <c r="AY33" s="36"/>
      <c r="AZ33" s="36"/>
      <c r="BA33" s="36"/>
      <c r="BB33" s="41"/>
    </row>
    <row r="34" spans="1:55" ht="18" customHeight="1" thickBot="1" x14ac:dyDescent="0.45">
      <c r="H34" s="329"/>
      <c r="L34" s="305" t="s">
        <v>72</v>
      </c>
      <c r="M34" s="306">
        <f>G48</f>
        <v>0.11717456112392816</v>
      </c>
      <c r="N34" s="88"/>
      <c r="O34" s="88">
        <v>5</v>
      </c>
      <c r="P34" s="93" t="str">
        <f t="shared" ca="1" si="54"/>
        <v>40-50</v>
      </c>
      <c r="Q34" s="93" t="str">
        <f t="shared" ca="1" si="55"/>
        <v>ПРЭМ-40</v>
      </c>
      <c r="R34" s="93">
        <f t="shared" ca="1" si="56"/>
        <v>40</v>
      </c>
      <c r="S34" s="93" t="str">
        <f t="shared" ca="1" si="57"/>
        <v>11,42</v>
      </c>
      <c r="T34" s="93">
        <f t="shared" ca="1" si="72"/>
        <v>0.64753161831585404</v>
      </c>
      <c r="U34" s="289">
        <f t="shared" ca="1" si="73"/>
        <v>69418.663519731941</v>
      </c>
      <c r="V34" s="289">
        <f t="shared" ca="1" si="74"/>
        <v>4.0875226338606262E-2</v>
      </c>
      <c r="W34" s="93">
        <f t="shared" ca="1" si="75"/>
        <v>3.0319510161434582E-2</v>
      </c>
      <c r="X34" s="93">
        <f t="shared" ca="1" si="76"/>
        <v>2.3318371452135389E-2</v>
      </c>
      <c r="Y34" s="93">
        <f t="shared" ca="1" si="77"/>
        <v>3.0319510161434582E-2</v>
      </c>
      <c r="Z34" s="290">
        <f t="shared" ca="1" si="58"/>
        <v>0</v>
      </c>
      <c r="AA34" s="290">
        <f t="shared" ca="1" si="59"/>
        <v>0</v>
      </c>
      <c r="AB34" s="93">
        <f t="shared" ca="1" si="60"/>
        <v>5.2884082717209509E-3</v>
      </c>
      <c r="AC34" s="291">
        <f t="shared" ca="1" si="61"/>
        <v>0</v>
      </c>
      <c r="AD34" s="93">
        <f t="shared" ca="1" si="62"/>
        <v>0</v>
      </c>
      <c r="AE34" s="93">
        <f t="shared" ca="1" si="63"/>
        <v>5.2884082717209509E-3</v>
      </c>
      <c r="AF34" s="93">
        <f t="shared" ca="1" si="64"/>
        <v>5.2884082717209509E-3</v>
      </c>
      <c r="AG34" s="292">
        <f t="shared" ca="1" si="65"/>
        <v>0.3</v>
      </c>
      <c r="AH34" s="292">
        <f t="shared" ca="1" si="66"/>
        <v>0.18</v>
      </c>
      <c r="AI34" s="292">
        <f t="shared" ca="1" si="67"/>
        <v>0.1</v>
      </c>
      <c r="AJ34" s="292">
        <f t="shared" ca="1" si="68"/>
        <v>45</v>
      </c>
      <c r="AK34" s="293" t="b">
        <f t="shared" ca="1" si="69"/>
        <v>0</v>
      </c>
      <c r="AL34" s="293" t="b">
        <f t="shared" ca="1" si="70"/>
        <v>0</v>
      </c>
      <c r="AM34" s="293" t="b">
        <f t="shared" ca="1" si="71"/>
        <v>1</v>
      </c>
      <c r="AN34" s="294" t="str">
        <f t="shared" ca="1" si="78"/>
        <v>B1</v>
      </c>
      <c r="AO34" s="294" t="b">
        <f t="shared" ca="1" si="79"/>
        <v>1</v>
      </c>
      <c r="AP34" s="294" t="b">
        <f t="shared" ca="1" si="80"/>
        <v>1</v>
      </c>
      <c r="AQ34" s="311"/>
      <c r="AR34" s="312"/>
      <c r="AS34" s="313"/>
      <c r="AT34" s="314"/>
      <c r="AU34" s="41"/>
      <c r="AV34" s="41"/>
      <c r="AW34" s="41"/>
      <c r="AX34" s="41"/>
      <c r="AY34" s="41"/>
      <c r="AZ34" s="41"/>
      <c r="BA34" s="41"/>
      <c r="BB34" s="41"/>
    </row>
    <row r="35" spans="1:55" ht="25" customHeight="1" thickBot="1" x14ac:dyDescent="0.45">
      <c r="B35" s="800" t="s">
        <v>35</v>
      </c>
      <c r="C35" s="801"/>
      <c r="D35" s="801"/>
      <c r="E35" s="122"/>
      <c r="F35" s="122"/>
      <c r="G35" s="121"/>
      <c r="H35" s="8"/>
      <c r="L35" s="305" t="s">
        <v>73</v>
      </c>
      <c r="M35" s="315">
        <f>G60</f>
        <v>3.7311672998820908E-7</v>
      </c>
      <c r="N35" s="88"/>
      <c r="O35" s="88">
        <v>6</v>
      </c>
      <c r="P35" s="93" t="str">
        <f t="shared" ca="1" si="54"/>
        <v>50-50</v>
      </c>
      <c r="Q35" s="93" t="str">
        <f t="shared" ca="1" si="55"/>
        <v>ПРЭМ-50</v>
      </c>
      <c r="R35" s="93">
        <f t="shared" ca="1" si="56"/>
        <v>50</v>
      </c>
      <c r="S35" s="93">
        <f t="shared" ca="1" si="57"/>
        <v>0</v>
      </c>
      <c r="T35" s="93">
        <f t="shared" ca="1" si="72"/>
        <v>0.41442023572214659</v>
      </c>
      <c r="U35" s="289">
        <f t="shared" ca="1" si="73"/>
        <v>55534.930815785548</v>
      </c>
      <c r="V35" s="289">
        <f t="shared" ca="1" si="74"/>
        <v>3.7850686611455138E-2</v>
      </c>
      <c r="W35" s="93">
        <f t="shared" ca="1" si="75"/>
        <v>0</v>
      </c>
      <c r="X35" s="93">
        <f t="shared" ca="1" si="76"/>
        <v>0</v>
      </c>
      <c r="Y35" s="93">
        <f t="shared" ca="1" si="77"/>
        <v>0</v>
      </c>
      <c r="Z35" s="290">
        <f t="shared" ca="1" si="58"/>
        <v>0</v>
      </c>
      <c r="AA35" s="290">
        <f t="shared" ca="1" si="59"/>
        <v>0</v>
      </c>
      <c r="AB35" s="93">
        <f t="shared" ca="1" si="60"/>
        <v>1.3253075044260575E-3</v>
      </c>
      <c r="AC35" s="291">
        <f t="shared" ca="1" si="61"/>
        <v>0</v>
      </c>
      <c r="AD35" s="93">
        <f t="shared" ca="1" si="62"/>
        <v>0</v>
      </c>
      <c r="AE35" s="93">
        <f t="shared" ca="1" si="63"/>
        <v>1.3253075044260575E-3</v>
      </c>
      <c r="AF35" s="93">
        <f t="shared" ca="1" si="64"/>
        <v>1.3253075044260575E-3</v>
      </c>
      <c r="AG35" s="292">
        <f t="shared" ca="1" si="65"/>
        <v>0.48</v>
      </c>
      <c r="AH35" s="292">
        <f t="shared" ca="1" si="66"/>
        <v>0.28799999999999998</v>
      </c>
      <c r="AI35" s="292">
        <f t="shared" ca="1" si="67"/>
        <v>0.16</v>
      </c>
      <c r="AJ35" s="292">
        <f t="shared" ca="1" si="68"/>
        <v>72</v>
      </c>
      <c r="AK35" s="293" t="b">
        <f t="shared" ca="1" si="69"/>
        <v>0</v>
      </c>
      <c r="AL35" s="293" t="b">
        <f t="shared" ca="1" si="70"/>
        <v>0</v>
      </c>
      <c r="AM35" s="293" t="b">
        <f t="shared" ca="1" si="71"/>
        <v>0</v>
      </c>
      <c r="AN35" s="294" t="str">
        <f t="shared" ca="1" si="78"/>
        <v>НЕТ</v>
      </c>
      <c r="AO35" s="294" t="b">
        <f t="shared" ca="1" si="79"/>
        <v>0</v>
      </c>
      <c r="AP35" s="294" t="b">
        <f t="shared" ca="1" si="80"/>
        <v>0</v>
      </c>
      <c r="AQ35" s="91"/>
      <c r="AS35" s="316"/>
      <c r="AT35" s="317"/>
      <c r="AU35" s="41"/>
      <c r="AV35" s="41"/>
      <c r="AW35" s="41"/>
      <c r="AX35" s="41"/>
      <c r="AY35" s="41"/>
      <c r="AZ35" s="41"/>
      <c r="BA35" s="41"/>
      <c r="BB35" s="41"/>
    </row>
    <row r="36" spans="1:55" ht="45" customHeight="1" thickBot="1" x14ac:dyDescent="0.45">
      <c r="B36" s="823" t="s">
        <v>106</v>
      </c>
      <c r="C36" s="824"/>
      <c r="D36" s="119" t="str">
        <f ca="1">AR3</f>
        <v>ПРЭМ-32-D-Cэндвич</v>
      </c>
      <c r="E36" s="120" t="str">
        <f ca="1">AR16</f>
        <v>ПРЭМ-32-D-Cэндвич</v>
      </c>
      <c r="F36" s="331"/>
      <c r="G36" s="120" t="str">
        <f ca="1">AR29</f>
        <v>ПРЭМ-20-D-Cэндвич</v>
      </c>
      <c r="H36" s="56"/>
      <c r="L36" s="318" t="s">
        <v>102</v>
      </c>
      <c r="M36" s="319">
        <f>(M33/3.6)/((PI()*M32^2)/4000)</f>
        <v>0.41442023572214659</v>
      </c>
      <c r="O36" s="88">
        <v>7</v>
      </c>
      <c r="P36" s="93" t="str">
        <f t="shared" ca="1" si="54"/>
        <v>---</v>
      </c>
      <c r="Q36" s="93" t="str">
        <f t="shared" ca="1" si="55"/>
        <v>---</v>
      </c>
      <c r="R36" s="93" t="str">
        <f t="shared" ca="1" si="56"/>
        <v>---</v>
      </c>
      <c r="S36" s="93" t="str">
        <f t="shared" ca="1" si="57"/>
        <v>---</v>
      </c>
      <c r="T36" s="93" t="str">
        <f t="shared" ca="1" si="72"/>
        <v>---</v>
      </c>
      <c r="U36" s="289" t="str">
        <f t="shared" ca="1" si="73"/>
        <v>---</v>
      </c>
      <c r="V36" s="289" t="str">
        <f t="shared" ca="1" si="74"/>
        <v>---</v>
      </c>
      <c r="W36" s="93" t="str">
        <f t="shared" ca="1" si="75"/>
        <v>---</v>
      </c>
      <c r="X36" s="93" t="str">
        <f t="shared" ca="1" si="76"/>
        <v>---</v>
      </c>
      <c r="Y36" s="93" t="str">
        <f t="shared" ca="1" si="77"/>
        <v>---</v>
      </c>
      <c r="Z36" s="290" t="str">
        <f t="shared" ca="1" si="58"/>
        <v>---</v>
      </c>
      <c r="AA36" s="290" t="str">
        <f t="shared" ca="1" si="59"/>
        <v>---</v>
      </c>
      <c r="AB36" s="93" t="str">
        <f t="shared" ca="1" si="60"/>
        <v>--</v>
      </c>
      <c r="AC36" s="291" t="str">
        <f t="shared" ca="1" si="61"/>
        <v>--</v>
      </c>
      <c r="AD36" s="93" t="str">
        <f t="shared" ca="1" si="62"/>
        <v>--</v>
      </c>
      <c r="AE36" s="93" t="str">
        <f t="shared" ca="1" si="63"/>
        <v>---</v>
      </c>
      <c r="AF36" s="93" t="str">
        <f t="shared" ca="1" si="64"/>
        <v>---</v>
      </c>
      <c r="AG36" s="292" t="str">
        <f t="shared" ca="1" si="65"/>
        <v>---</v>
      </c>
      <c r="AH36" s="292" t="str">
        <f t="shared" ca="1" si="66"/>
        <v>---</v>
      </c>
      <c r="AI36" s="292" t="str">
        <f t="shared" ca="1" si="67"/>
        <v>---</v>
      </c>
      <c r="AJ36" s="292" t="str">
        <f t="shared" ca="1" si="68"/>
        <v>---</v>
      </c>
      <c r="AK36" s="293" t="str">
        <f t="shared" ca="1" si="69"/>
        <v>---</v>
      </c>
      <c r="AL36" s="293" t="str">
        <f t="shared" ca="1" si="70"/>
        <v>---</v>
      </c>
      <c r="AM36" s="293" t="str">
        <f t="shared" ca="1" si="71"/>
        <v>---</v>
      </c>
      <c r="AN36" s="294" t="str">
        <f t="shared" ca="1" si="78"/>
        <v>---</v>
      </c>
      <c r="AO36" s="294" t="str">
        <f t="shared" ca="1" si="79"/>
        <v>---</v>
      </c>
      <c r="AP36" s="294" t="str">
        <f t="shared" ca="1" si="80"/>
        <v>---</v>
      </c>
      <c r="AR36" s="320"/>
      <c r="AT36" s="9"/>
      <c r="AU36" s="41"/>
      <c r="AV36" s="41"/>
      <c r="AW36" s="41"/>
      <c r="AX36" s="41"/>
      <c r="AY36" s="41"/>
      <c r="AZ36" s="41"/>
      <c r="BA36" s="41"/>
      <c r="BB36" s="41"/>
    </row>
    <row r="37" spans="1:55" ht="18" customHeight="1" x14ac:dyDescent="0.3">
      <c r="B37" s="819" t="s">
        <v>58</v>
      </c>
      <c r="C37" s="820"/>
      <c r="D37" s="27">
        <f ca="1">VLOOKUP(AT3,ParamPiterflow,4,FALSE)</f>
        <v>30</v>
      </c>
      <c r="E37" s="28">
        <f ca="1">VLOOKUP(AT16,ParamPiterflow,4,FALSE)</f>
        <v>30</v>
      </c>
      <c r="F37" s="332"/>
      <c r="G37" s="28">
        <f ca="1">VLOOKUP(AT29,ParamPiterflow,4,FALSE)</f>
        <v>12</v>
      </c>
      <c r="H37" s="8"/>
      <c r="O37" s="88">
        <v>8</v>
      </c>
      <c r="P37" s="93" t="str">
        <f t="shared" ca="1" si="54"/>
        <v>---</v>
      </c>
      <c r="Q37" s="93" t="str">
        <f t="shared" ca="1" si="55"/>
        <v>---</v>
      </c>
      <c r="R37" s="93" t="str">
        <f t="shared" ca="1" si="56"/>
        <v>---</v>
      </c>
      <c r="S37" s="93" t="str">
        <f t="shared" ca="1" si="57"/>
        <v>---</v>
      </c>
      <c r="T37" s="93" t="str">
        <f t="shared" ca="1" si="72"/>
        <v>---</v>
      </c>
      <c r="U37" s="289" t="str">
        <f t="shared" ca="1" si="73"/>
        <v>---</v>
      </c>
      <c r="V37" s="289" t="str">
        <f t="shared" ca="1" si="74"/>
        <v>---</v>
      </c>
      <c r="W37" s="93" t="str">
        <f t="shared" ca="1" si="75"/>
        <v>---</v>
      </c>
      <c r="X37" s="93" t="str">
        <f t="shared" ca="1" si="76"/>
        <v>---</v>
      </c>
      <c r="Y37" s="93" t="str">
        <f t="shared" ca="1" si="77"/>
        <v>---</v>
      </c>
      <c r="Z37" s="290" t="str">
        <f t="shared" ca="1" si="58"/>
        <v>---</v>
      </c>
      <c r="AA37" s="290" t="str">
        <f t="shared" ca="1" si="59"/>
        <v>---</v>
      </c>
      <c r="AB37" s="93" t="str">
        <f t="shared" ca="1" si="60"/>
        <v>--</v>
      </c>
      <c r="AC37" s="291" t="str">
        <f t="shared" ca="1" si="61"/>
        <v>--</v>
      </c>
      <c r="AD37" s="93" t="str">
        <f t="shared" ca="1" si="62"/>
        <v>--</v>
      </c>
      <c r="AE37" s="93" t="str">
        <f t="shared" ca="1" si="63"/>
        <v>---</v>
      </c>
      <c r="AF37" s="93" t="str">
        <f t="shared" ca="1" si="64"/>
        <v>---</v>
      </c>
      <c r="AG37" s="292" t="str">
        <f t="shared" ca="1" si="65"/>
        <v>---</v>
      </c>
      <c r="AH37" s="292" t="str">
        <f t="shared" ca="1" si="66"/>
        <v>---</v>
      </c>
      <c r="AI37" s="292" t="str">
        <f t="shared" ca="1" si="67"/>
        <v>---</v>
      </c>
      <c r="AJ37" s="292" t="str">
        <f t="shared" ca="1" si="68"/>
        <v>---</v>
      </c>
      <c r="AK37" s="293" t="str">
        <f t="shared" ca="1" si="69"/>
        <v>---</v>
      </c>
      <c r="AL37" s="293" t="str">
        <f t="shared" ca="1" si="70"/>
        <v>---</v>
      </c>
      <c r="AM37" s="293" t="str">
        <f t="shared" ca="1" si="71"/>
        <v>---</v>
      </c>
      <c r="AN37" s="294" t="str">
        <f t="shared" ca="1" si="78"/>
        <v>---</v>
      </c>
      <c r="AO37" s="294" t="str">
        <f t="shared" ca="1" si="79"/>
        <v>---</v>
      </c>
      <c r="AP37" s="294" t="str">
        <f t="shared" ca="1" si="80"/>
        <v>---</v>
      </c>
      <c r="AR37" s="320"/>
      <c r="AT37" s="91"/>
      <c r="AU37" s="41"/>
      <c r="AV37" s="41"/>
      <c r="AW37" s="41"/>
      <c r="AX37" s="41"/>
      <c r="AY37" s="41"/>
      <c r="AZ37" s="41"/>
      <c r="BA37" s="41"/>
      <c r="BB37" s="41"/>
    </row>
    <row r="38" spans="1:55" ht="18" customHeight="1" x14ac:dyDescent="0.3">
      <c r="B38" s="815" t="s">
        <v>233</v>
      </c>
      <c r="C38" s="816"/>
      <c r="D38" s="29">
        <f ca="1">VLOOKUP(AT3,ParamPiterflow,3,FALSE)</f>
        <v>0.3</v>
      </c>
      <c r="E38" s="30">
        <f ca="1">VLOOKUP(AT16,ParamPiterflow,3,FALSE)</f>
        <v>0.3</v>
      </c>
      <c r="F38" s="332"/>
      <c r="G38" s="30">
        <f ca="1">VLOOKUP(AT29,ParamPiterflow,3,FALSE)</f>
        <v>0.12</v>
      </c>
      <c r="H38" s="333"/>
      <c r="O38" s="88">
        <v>9</v>
      </c>
      <c r="P38" s="93" t="str">
        <f t="shared" ca="1" si="54"/>
        <v>---</v>
      </c>
      <c r="Q38" s="93" t="str">
        <f t="shared" ca="1" si="55"/>
        <v>---</v>
      </c>
      <c r="R38" s="93" t="str">
        <f t="shared" ca="1" si="56"/>
        <v>---</v>
      </c>
      <c r="S38" s="93" t="str">
        <f t="shared" ca="1" si="57"/>
        <v>---</v>
      </c>
      <c r="T38" s="93" t="str">
        <f t="shared" ca="1" si="72"/>
        <v>---</v>
      </c>
      <c r="U38" s="289" t="str">
        <f t="shared" ca="1" si="73"/>
        <v>---</v>
      </c>
      <c r="V38" s="289" t="str">
        <f t="shared" ca="1" si="74"/>
        <v>---</v>
      </c>
      <c r="W38" s="93" t="str">
        <f t="shared" ca="1" si="75"/>
        <v>---</v>
      </c>
      <c r="X38" s="93" t="str">
        <f t="shared" ca="1" si="76"/>
        <v>---</v>
      </c>
      <c r="Y38" s="93" t="str">
        <f t="shared" ca="1" si="77"/>
        <v>---</v>
      </c>
      <c r="Z38" s="290" t="str">
        <f t="shared" ca="1" si="58"/>
        <v>---</v>
      </c>
      <c r="AA38" s="290" t="str">
        <f t="shared" ca="1" si="59"/>
        <v>---</v>
      </c>
      <c r="AB38" s="93" t="str">
        <f t="shared" ca="1" si="60"/>
        <v>--</v>
      </c>
      <c r="AC38" s="291" t="str">
        <f t="shared" ca="1" si="61"/>
        <v>--</v>
      </c>
      <c r="AD38" s="93" t="str">
        <f t="shared" ca="1" si="62"/>
        <v>--</v>
      </c>
      <c r="AE38" s="93" t="str">
        <f t="shared" ca="1" si="63"/>
        <v>---</v>
      </c>
      <c r="AF38" s="93" t="str">
        <f t="shared" ca="1" si="64"/>
        <v>---</v>
      </c>
      <c r="AG38" s="292" t="str">
        <f t="shared" ca="1" si="65"/>
        <v>---</v>
      </c>
      <c r="AH38" s="292" t="str">
        <f t="shared" ca="1" si="66"/>
        <v>---</v>
      </c>
      <c r="AI38" s="292" t="str">
        <f t="shared" ca="1" si="67"/>
        <v>---</v>
      </c>
      <c r="AJ38" s="292" t="str">
        <f t="shared" ca="1" si="68"/>
        <v>---</v>
      </c>
      <c r="AK38" s="293" t="str">
        <f t="shared" ca="1" si="69"/>
        <v>---</v>
      </c>
      <c r="AL38" s="293" t="str">
        <f t="shared" ca="1" si="70"/>
        <v>---</v>
      </c>
      <c r="AM38" s="293" t="str">
        <f t="shared" ca="1" si="71"/>
        <v>---</v>
      </c>
      <c r="AN38" s="294" t="str">
        <f t="shared" ca="1" si="78"/>
        <v>---</v>
      </c>
      <c r="AO38" s="294" t="str">
        <f t="shared" ca="1" si="79"/>
        <v>---</v>
      </c>
      <c r="AP38" s="294" t="str">
        <f t="shared" ca="1" si="80"/>
        <v>---</v>
      </c>
      <c r="AS38" s="41"/>
      <c r="AT38" s="91"/>
      <c r="AU38" s="41"/>
      <c r="AV38" s="41"/>
      <c r="AW38" s="41"/>
      <c r="AX38" s="41"/>
      <c r="AY38" s="41"/>
      <c r="AZ38" s="41"/>
      <c r="BA38" s="41"/>
      <c r="BB38" s="41"/>
    </row>
    <row r="39" spans="1:55" ht="18" customHeight="1" thickBot="1" x14ac:dyDescent="0.35">
      <c r="B39" s="815" t="s">
        <v>101</v>
      </c>
      <c r="C39" s="816"/>
      <c r="D39" s="31">
        <f ca="1">VLOOKUP(AT3,ParamPiterflow,2,FALSE)</f>
        <v>0.2</v>
      </c>
      <c r="E39" s="32">
        <f ca="1">VLOOKUP(AT16,ParamPiterflow,2,FALSE)</f>
        <v>0.2</v>
      </c>
      <c r="F39" s="332"/>
      <c r="G39" s="32">
        <f ca="1">VLOOKUP(AT29,ParamPiterflow,2,FALSE)</f>
        <v>0.08</v>
      </c>
      <c r="H39" s="333"/>
      <c r="O39" s="88">
        <v>10</v>
      </c>
      <c r="P39" s="93" t="str">
        <f t="shared" ca="1" si="54"/>
        <v>---</v>
      </c>
      <c r="Q39" s="93" t="str">
        <f t="shared" ca="1" si="55"/>
        <v>---</v>
      </c>
      <c r="R39" s="93" t="str">
        <f t="shared" ca="1" si="56"/>
        <v>---</v>
      </c>
      <c r="S39" s="93" t="str">
        <f t="shared" ca="1" si="57"/>
        <v>---</v>
      </c>
      <c r="T39" s="93" t="str">
        <f t="shared" ca="1" si="72"/>
        <v>---</v>
      </c>
      <c r="U39" s="289" t="str">
        <f t="shared" ca="1" si="73"/>
        <v>---</v>
      </c>
      <c r="V39" s="289" t="str">
        <f t="shared" ca="1" si="74"/>
        <v>---</v>
      </c>
      <c r="W39" s="93" t="str">
        <f t="shared" ca="1" si="75"/>
        <v>---</v>
      </c>
      <c r="X39" s="93" t="str">
        <f t="shared" ca="1" si="76"/>
        <v>---</v>
      </c>
      <c r="Y39" s="93" t="str">
        <f t="shared" ca="1" si="77"/>
        <v>---</v>
      </c>
      <c r="Z39" s="290" t="str">
        <f t="shared" ca="1" si="58"/>
        <v>---</v>
      </c>
      <c r="AA39" s="290" t="str">
        <f t="shared" ca="1" si="59"/>
        <v>---</v>
      </c>
      <c r="AB39" s="93" t="str">
        <f t="shared" ca="1" si="60"/>
        <v>--</v>
      </c>
      <c r="AC39" s="291" t="str">
        <f t="shared" ca="1" si="61"/>
        <v>--</v>
      </c>
      <c r="AD39" s="93" t="str">
        <f t="shared" ca="1" si="62"/>
        <v>--</v>
      </c>
      <c r="AE39" s="93" t="str">
        <f t="shared" ca="1" si="63"/>
        <v>---</v>
      </c>
      <c r="AF39" s="93" t="str">
        <f t="shared" ca="1" si="64"/>
        <v>---</v>
      </c>
      <c r="AG39" s="292" t="str">
        <f t="shared" ca="1" si="65"/>
        <v>---</v>
      </c>
      <c r="AH39" s="292" t="str">
        <f t="shared" ca="1" si="66"/>
        <v>---</v>
      </c>
      <c r="AI39" s="292" t="str">
        <f t="shared" ca="1" si="67"/>
        <v>---</v>
      </c>
      <c r="AJ39" s="292" t="str">
        <f t="shared" ca="1" si="68"/>
        <v>---</v>
      </c>
      <c r="AK39" s="293" t="str">
        <f t="shared" ca="1" si="69"/>
        <v>---</v>
      </c>
      <c r="AL39" s="293" t="str">
        <f t="shared" ca="1" si="70"/>
        <v>---</v>
      </c>
      <c r="AM39" s="293" t="str">
        <f t="shared" ca="1" si="71"/>
        <v>---</v>
      </c>
      <c r="AN39" s="294" t="str">
        <f t="shared" ca="1" si="78"/>
        <v>---</v>
      </c>
      <c r="AO39" s="294" t="str">
        <f t="shared" ca="1" si="79"/>
        <v>---</v>
      </c>
      <c r="AP39" s="294" t="str">
        <f t="shared" ca="1" si="80"/>
        <v>---</v>
      </c>
      <c r="AS39" s="41"/>
      <c r="AT39" s="91"/>
      <c r="AU39" s="41"/>
      <c r="AV39" s="41"/>
      <c r="AW39" s="41"/>
      <c r="AX39" s="41"/>
      <c r="AY39" s="41"/>
      <c r="AZ39" s="41"/>
      <c r="BA39" s="41"/>
      <c r="BB39" s="41"/>
    </row>
    <row r="40" spans="1:55" ht="18" customHeight="1" thickBot="1" x14ac:dyDescent="0.45">
      <c r="H40" s="333"/>
      <c r="AG40" s="334"/>
      <c r="AH40" s="334"/>
      <c r="AI40" s="334"/>
      <c r="AJ40" s="334"/>
      <c r="AK40" s="334"/>
      <c r="AL40" s="334"/>
      <c r="AM40" s="41"/>
      <c r="AN40" s="41"/>
      <c r="AO40" s="41"/>
      <c r="AP40" s="46"/>
      <c r="AQ40" s="335"/>
      <c r="AR40" s="41"/>
      <c r="AS40" s="335"/>
      <c r="AT40" s="335"/>
      <c r="AU40" s="41"/>
      <c r="AV40" s="41"/>
      <c r="AW40" s="41"/>
      <c r="AX40" s="41"/>
      <c r="AY40" s="41"/>
      <c r="AZ40" s="41"/>
      <c r="BA40" s="41"/>
      <c r="BB40" s="41"/>
    </row>
    <row r="41" spans="1:55" ht="25" customHeight="1" thickBot="1" x14ac:dyDescent="0.35">
      <c r="B41" s="800" t="s">
        <v>107</v>
      </c>
      <c r="C41" s="801"/>
      <c r="D41" s="801"/>
      <c r="E41" s="801"/>
      <c r="F41" s="801"/>
      <c r="G41" s="834"/>
      <c r="H41" s="333"/>
      <c r="AG41" s="334"/>
      <c r="AH41" s="334"/>
      <c r="AI41" s="334"/>
      <c r="AJ41" s="334"/>
      <c r="AK41" s="334"/>
      <c r="AL41" s="334"/>
      <c r="AM41" s="41"/>
      <c r="AN41" s="41"/>
      <c r="AO41" s="41"/>
      <c r="AP41" s="46"/>
      <c r="AQ41" s="314"/>
      <c r="AR41" s="41"/>
      <c r="AS41" s="314"/>
      <c r="AT41" s="314"/>
      <c r="AU41" s="41"/>
      <c r="AV41" s="41"/>
      <c r="AW41" s="41"/>
      <c r="AX41" s="41"/>
      <c r="AY41" s="41"/>
      <c r="AZ41" s="41"/>
      <c r="BA41" s="41"/>
      <c r="BB41" s="41"/>
    </row>
    <row r="42" spans="1:55" ht="18" customHeight="1" x14ac:dyDescent="0.4">
      <c r="B42" s="336" t="s">
        <v>28</v>
      </c>
      <c r="C42" s="337"/>
      <c r="D42" s="14">
        <f>1000*$D$29/VLOOKUP(D30,TemperGrafik,3,FALSE)</f>
        <v>6.25</v>
      </c>
      <c r="E42" s="14">
        <f>D42</f>
        <v>6.25</v>
      </c>
      <c r="F42" s="71"/>
      <c r="G42" s="14">
        <f>1000*$G$29/(G45-5)</f>
        <v>2.8571428571428572</v>
      </c>
      <c r="H42" s="333"/>
      <c r="AG42" s="334"/>
      <c r="AH42" s="334"/>
      <c r="AI42" s="334"/>
      <c r="AJ42" s="334"/>
      <c r="AK42" s="334"/>
      <c r="AL42" s="334"/>
      <c r="AM42" s="41"/>
      <c r="AN42" s="41"/>
      <c r="AO42" s="41"/>
      <c r="AP42" s="46"/>
      <c r="AQ42" s="316"/>
      <c r="AR42" s="338"/>
      <c r="AS42" s="41"/>
      <c r="AT42" s="316"/>
      <c r="AU42" s="338"/>
      <c r="AV42" s="41"/>
      <c r="AW42" s="41"/>
      <c r="AX42" s="41"/>
      <c r="AY42" s="41"/>
      <c r="AZ42" s="41"/>
      <c r="BA42" s="41"/>
      <c r="BB42" s="41"/>
      <c r="BC42" s="41"/>
    </row>
    <row r="43" spans="1:55" ht="18" customHeight="1" x14ac:dyDescent="0.4">
      <c r="B43" s="336" t="s">
        <v>27</v>
      </c>
      <c r="C43" s="337"/>
      <c r="D43" s="14">
        <f>D42*0.5</f>
        <v>3.125</v>
      </c>
      <c r="E43" s="14">
        <f>D43</f>
        <v>3.125</v>
      </c>
      <c r="F43" s="71"/>
      <c r="G43" s="14">
        <f>G42*0.04</f>
        <v>0.1142857142857143</v>
      </c>
      <c r="H43" s="333"/>
      <c r="AG43" s="334"/>
      <c r="AH43" s="334"/>
      <c r="AI43" s="334"/>
      <c r="AJ43" s="334"/>
      <c r="AK43" s="334"/>
      <c r="AL43" s="334"/>
      <c r="AM43" s="41"/>
      <c r="AN43" s="41"/>
      <c r="AO43" s="41"/>
      <c r="AP43" s="46"/>
      <c r="AQ43" s="9"/>
      <c r="AR43" s="9"/>
      <c r="AS43" s="41"/>
      <c r="AT43" s="9"/>
      <c r="AU43" s="9"/>
      <c r="AV43" s="41"/>
      <c r="AW43" s="41"/>
      <c r="AX43" s="41"/>
      <c r="AY43" s="41"/>
      <c r="AZ43" s="41"/>
      <c r="BA43" s="41"/>
      <c r="BB43" s="41"/>
      <c r="BC43" s="41"/>
    </row>
    <row r="44" spans="1:55" ht="18" customHeight="1" x14ac:dyDescent="0.3">
      <c r="D44" s="11"/>
      <c r="E44" s="11"/>
      <c r="H44" s="333"/>
      <c r="AG44" s="334"/>
      <c r="AH44" s="334"/>
      <c r="AI44" s="334"/>
      <c r="AJ44" s="334"/>
      <c r="AK44" s="334"/>
      <c r="AL44" s="334"/>
      <c r="AN44" s="41"/>
      <c r="AO44" s="41"/>
      <c r="AP44" s="41"/>
      <c r="AQ44" s="41"/>
      <c r="AR44" s="41"/>
      <c r="AS44" s="41"/>
      <c r="AT44" s="10"/>
      <c r="AU44" s="10"/>
      <c r="AV44" s="41"/>
      <c r="AW44" s="41"/>
      <c r="AX44" s="41"/>
      <c r="AY44" s="41"/>
      <c r="AZ44" s="41"/>
      <c r="BA44" s="41"/>
      <c r="BB44" s="41"/>
      <c r="BC44" s="41"/>
    </row>
    <row r="45" spans="1:55" ht="18" customHeight="1" x14ac:dyDescent="0.4">
      <c r="B45" s="336" t="s">
        <v>29</v>
      </c>
      <c r="C45" s="337"/>
      <c r="D45" s="75">
        <f>VLOOKUP(D30,TemperGrafik,2,FALSE)</f>
        <v>150</v>
      </c>
      <c r="E45" s="34">
        <f>VLOOKUP(D30,TemperGrafik,4,FALSE)</f>
        <v>70</v>
      </c>
      <c r="F45" s="339"/>
      <c r="G45" s="34">
        <f>G30</f>
        <v>75</v>
      </c>
      <c r="H45" s="56"/>
      <c r="AG45" s="334"/>
      <c r="AH45" s="334"/>
      <c r="AI45" s="334"/>
      <c r="AJ45" s="334"/>
      <c r="AK45" s="334"/>
      <c r="AL45" s="334"/>
      <c r="AN45" s="41"/>
      <c r="AO45" s="41"/>
      <c r="AP45" s="41"/>
      <c r="AQ45" s="10"/>
      <c r="AR45" s="10"/>
      <c r="AS45" s="41"/>
      <c r="AT45" s="10"/>
      <c r="AU45" s="10"/>
      <c r="AV45" s="41"/>
      <c r="AW45" s="41"/>
      <c r="AX45" s="41"/>
      <c r="AY45" s="41"/>
      <c r="AZ45" s="41"/>
      <c r="BA45" s="41"/>
      <c r="BB45" s="41"/>
      <c r="BC45" s="41"/>
    </row>
    <row r="46" spans="1:55" ht="18" customHeight="1" x14ac:dyDescent="0.4">
      <c r="B46" s="340" t="s">
        <v>57</v>
      </c>
      <c r="C46" s="341"/>
      <c r="D46" s="14">
        <f>($D$45*0.01)^5*(-0.0005625*$D$33-1.3864)+($D$45*0.01)^4*(0.054517*$D$33+7.325)+($D$45*0.01)^3*(-0.27408*$D$33-15.474)+($D$45*0.01)^2*(0.52327*$D$33-5.0668)+$D$45*0.01*(-0.42067*$D$33-38.224)+0.16333*$D$33+1011.185</f>
        <v>917.17347079687499</v>
      </c>
      <c r="E46" s="14">
        <f>($E$45*0.01)^5*(-0.0005625*$E$33-1.3864)+($E$45*0.01)^4*(0.054517*$E$33+7.325)+($E$45*0.01)^3*(-0.27408*$E$33-15.474)+($E$45*0.01)^2*(0.52327*$E$33-5.0668)+$E$45*0.01*(-0.42067*$E$33-38.224)+0.16333*$E$33+1011.185</f>
        <v>978.384850513625</v>
      </c>
      <c r="G46" s="14">
        <f>($G$45*0.01)^5*(-0.0005625*$G$33-1.3864)+($G$45*0.01)^4*(0.054517*$G$33+7.325)+($G$45*0.01)^3*(-0.27408*$G$33-15.474)+($G$45*0.01)^2*(0.52327*$G$33-5.0668)+$G$45*0.01*(-0.42067*$G$33-38.224)+0.16333*$G$33+1011.185</f>
        <v>975.34578486572264</v>
      </c>
      <c r="H46" s="333"/>
      <c r="AG46" s="334"/>
      <c r="AH46" s="334"/>
      <c r="AI46" s="334"/>
      <c r="AJ46" s="334"/>
      <c r="AK46" s="334"/>
      <c r="AL46" s="334"/>
      <c r="AN46" s="41"/>
      <c r="AO46" s="41"/>
      <c r="AP46" s="41"/>
      <c r="AQ46" s="41"/>
      <c r="AR46" s="41"/>
      <c r="AS46" s="41"/>
      <c r="AT46" s="10"/>
      <c r="AU46" s="10"/>
      <c r="AV46" s="41"/>
      <c r="AW46" s="41"/>
      <c r="AX46" s="41"/>
      <c r="AY46" s="41"/>
      <c r="AZ46" s="41"/>
      <c r="BA46" s="41"/>
      <c r="BB46" s="41"/>
      <c r="BC46" s="41"/>
    </row>
    <row r="47" spans="1:55" ht="18" customHeight="1" x14ac:dyDescent="0.4">
      <c r="A47" s="342"/>
      <c r="B47" s="340" t="s">
        <v>80</v>
      </c>
      <c r="C47" s="341"/>
      <c r="D47" s="14">
        <f>(D42)*1000/$D$46</f>
        <v>6.8144142836684578</v>
      </c>
      <c r="E47" s="14">
        <f>(E42)*1000/$E$46</f>
        <v>6.3880792887573055</v>
      </c>
      <c r="F47" s="343"/>
      <c r="G47" s="14">
        <f>G42*1000/$G$46</f>
        <v>2.9293640280982038</v>
      </c>
      <c r="H47" s="333"/>
      <c r="AG47" s="334"/>
      <c r="AH47" s="334"/>
      <c r="AI47" s="334"/>
      <c r="AJ47" s="334"/>
      <c r="AK47" s="334"/>
      <c r="AL47" s="334"/>
      <c r="AN47" s="41"/>
      <c r="AO47" s="41"/>
      <c r="AP47" s="41"/>
      <c r="AQ47" s="10"/>
      <c r="AR47" s="10"/>
      <c r="AS47" s="41"/>
      <c r="AT47" s="10"/>
      <c r="AU47" s="10"/>
      <c r="AV47" s="41"/>
      <c r="AW47" s="41"/>
      <c r="AX47" s="41"/>
      <c r="AY47" s="41"/>
      <c r="AZ47" s="41"/>
      <c r="BA47" s="41"/>
      <c r="BB47" s="41"/>
      <c r="BC47" s="41"/>
    </row>
    <row r="48" spans="1:55" ht="18" customHeight="1" x14ac:dyDescent="0.4">
      <c r="A48" s="342"/>
      <c r="B48" s="340" t="s">
        <v>79</v>
      </c>
      <c r="C48" s="341"/>
      <c r="D48" s="14">
        <f>(D43)*1000/$D$46</f>
        <v>3.4072071418342289</v>
      </c>
      <c r="E48" s="14">
        <f>(E43)*1000/$E$46</f>
        <v>3.1940396443786527</v>
      </c>
      <c r="G48" s="14">
        <f>G43*1000/$G$46</f>
        <v>0.11717456112392816</v>
      </c>
      <c r="H48" s="333"/>
      <c r="AG48" s="334"/>
      <c r="AH48" s="334"/>
      <c r="AI48" s="334"/>
      <c r="AJ48" s="334"/>
      <c r="AK48" s="334"/>
      <c r="AL48" s="334"/>
      <c r="AN48" s="41"/>
      <c r="AO48" s="41"/>
      <c r="AP48" s="41"/>
      <c r="AQ48" s="10"/>
      <c r="AR48" s="10"/>
      <c r="AS48" s="41"/>
      <c r="AT48" s="10"/>
      <c r="AU48" s="10"/>
      <c r="AV48" s="41"/>
      <c r="AW48" s="41"/>
      <c r="AX48" s="41"/>
      <c r="AY48" s="41"/>
      <c r="AZ48" s="41"/>
      <c r="BA48" s="41"/>
      <c r="BB48" s="41"/>
      <c r="BC48" s="41"/>
    </row>
    <row r="49" spans="1:55" ht="25" customHeight="1" x14ac:dyDescent="0.4">
      <c r="A49" s="342"/>
      <c r="D49" s="24" t="str">
        <f>IF(D50&gt;=3,"Большая скорость потока!","")</f>
        <v/>
      </c>
      <c r="E49" s="24" t="str">
        <f>IF(E50&gt;=3,"Большая скорость потока!","")</f>
        <v/>
      </c>
      <c r="F49" s="24"/>
      <c r="G49" s="24" t="str">
        <f>IF(G50&gt;=3,"Большая скорость потока!","")</f>
        <v/>
      </c>
      <c r="H49" s="333"/>
      <c r="AG49" s="334"/>
      <c r="AH49" s="334"/>
      <c r="AI49" s="334"/>
      <c r="AJ49" s="334"/>
      <c r="AK49" s="334"/>
      <c r="AL49" s="334"/>
      <c r="AN49" s="41"/>
      <c r="AO49" s="41"/>
      <c r="AP49" s="41"/>
      <c r="AQ49" s="10"/>
      <c r="AR49" s="10"/>
      <c r="AS49" s="41"/>
      <c r="AT49" s="10"/>
      <c r="AU49" s="10"/>
      <c r="AV49" s="41"/>
      <c r="AW49" s="41"/>
      <c r="AX49" s="41"/>
      <c r="AY49" s="41"/>
      <c r="AZ49" s="41"/>
      <c r="BA49" s="41"/>
      <c r="BB49" s="41"/>
      <c r="BC49" s="41"/>
    </row>
    <row r="50" spans="1:55" ht="18" customHeight="1" x14ac:dyDescent="0.3">
      <c r="A50" s="344"/>
      <c r="B50" s="340" t="s">
        <v>24</v>
      </c>
      <c r="C50" s="341"/>
      <c r="D50" s="61">
        <f>M10</f>
        <v>0.96404241557497961</v>
      </c>
      <c r="E50" s="26">
        <f>M23</f>
        <v>0.90372835170549715</v>
      </c>
      <c r="G50" s="26">
        <f>M36</f>
        <v>0.41442023572214659</v>
      </c>
      <c r="H50" s="333"/>
      <c r="AG50" s="334"/>
      <c r="AH50" s="334"/>
      <c r="AI50" s="334"/>
      <c r="AJ50" s="334"/>
      <c r="AK50" s="334"/>
      <c r="AL50" s="334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18" customHeight="1" x14ac:dyDescent="0.4">
      <c r="A51" s="344"/>
      <c r="B51" s="340" t="s">
        <v>25</v>
      </c>
      <c r="C51" s="341"/>
      <c r="D51" s="12">
        <f ca="1">AR5</f>
        <v>2.3536191786498524</v>
      </c>
      <c r="E51" s="12">
        <f ca="1">AR18</f>
        <v>2.2063680461559985</v>
      </c>
      <c r="G51" s="12">
        <f ca="1">AR31</f>
        <v>2.5901264732634162</v>
      </c>
      <c r="H51" s="329"/>
      <c r="M51" s="259"/>
      <c r="N51" s="345"/>
      <c r="O51" s="258"/>
      <c r="P51" s="41"/>
      <c r="Q51" s="41"/>
      <c r="R51" s="41"/>
      <c r="S51" s="41"/>
      <c r="T51" s="41"/>
      <c r="U51" s="258"/>
      <c r="V51" s="41"/>
      <c r="W51" s="41"/>
      <c r="X51" s="41"/>
      <c r="Y51" s="41"/>
      <c r="Z51" s="41"/>
      <c r="AA51" s="258"/>
      <c r="AB51" s="41"/>
      <c r="AC51" s="41"/>
      <c r="AD51" s="41"/>
      <c r="AE51" s="41"/>
      <c r="AF51" s="41"/>
      <c r="AG51" s="258"/>
      <c r="AH51" s="41"/>
      <c r="AI51" s="41"/>
      <c r="AJ51" s="41"/>
      <c r="AK51" s="41"/>
      <c r="AL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18" customHeight="1" x14ac:dyDescent="0.4">
      <c r="A52" s="344"/>
      <c r="B52" s="340" t="s">
        <v>26</v>
      </c>
      <c r="C52" s="341"/>
      <c r="D52" s="12">
        <f ca="1">AR6</f>
        <v>0.11811354546859432</v>
      </c>
      <c r="E52" s="12">
        <f ca="1">AR19</f>
        <v>0.10379662583502043</v>
      </c>
      <c r="G52" s="12">
        <f ca="1">AR32</f>
        <v>0.35142368844277089</v>
      </c>
      <c r="H52" s="329"/>
      <c r="M52" s="346"/>
      <c r="N52" s="345"/>
      <c r="O52" s="258"/>
      <c r="P52" s="41"/>
      <c r="Q52" s="41"/>
      <c r="R52" s="41"/>
      <c r="S52" s="41"/>
      <c r="T52" s="41"/>
      <c r="U52" s="258"/>
      <c r="V52" s="41"/>
      <c r="W52" s="41"/>
      <c r="X52" s="41"/>
      <c r="Y52" s="41"/>
      <c r="Z52" s="41"/>
      <c r="AA52" s="258"/>
      <c r="AB52" s="41"/>
      <c r="AC52" s="41"/>
      <c r="AD52" s="41"/>
      <c r="AE52" s="41"/>
      <c r="AF52" s="41"/>
      <c r="AG52" s="258"/>
      <c r="AH52" s="41"/>
      <c r="AI52" s="41"/>
      <c r="AJ52" s="41"/>
      <c r="AK52" s="41"/>
      <c r="AL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18" customHeight="1" x14ac:dyDescent="0.4">
      <c r="A53" s="347"/>
      <c r="B53" s="347"/>
      <c r="H53" s="329"/>
      <c r="M53" s="41"/>
      <c r="N53" s="34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N53" s="258"/>
      <c r="AO53" s="258"/>
      <c r="AP53" s="349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18" hidden="1" customHeight="1" x14ac:dyDescent="0.4">
      <c r="A54" s="344"/>
      <c r="B54" s="344"/>
      <c r="H54" s="329"/>
      <c r="M54" s="350"/>
      <c r="N54" s="37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N54" s="18"/>
      <c r="AO54" s="18"/>
      <c r="AP54" s="18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18" hidden="1" customHeight="1" x14ac:dyDescent="0.4">
      <c r="A55" s="344"/>
      <c r="B55" s="344"/>
      <c r="H55" s="329"/>
      <c r="M55" s="351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N55" s="37"/>
      <c r="AO55" s="37"/>
      <c r="AP55" s="37"/>
      <c r="AQ55" s="349"/>
      <c r="AR55" s="349"/>
      <c r="AS55" s="258"/>
      <c r="AT55" s="258"/>
      <c r="AU55" s="258"/>
      <c r="AV55" s="258"/>
      <c r="AW55" s="349"/>
      <c r="AX55" s="349"/>
      <c r="AY55" s="258"/>
      <c r="AZ55" s="258"/>
      <c r="BA55" s="258"/>
      <c r="BB55" s="258"/>
      <c r="BC55" s="349"/>
    </row>
    <row r="56" spans="1:55" ht="18" hidden="1" customHeight="1" x14ac:dyDescent="0.3">
      <c r="A56" s="344"/>
      <c r="B56" s="344"/>
      <c r="H56" s="8"/>
      <c r="M56" s="351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N56" s="37"/>
      <c r="AO56" s="37"/>
      <c r="AP56" s="37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1:55" ht="18" hidden="1" customHeight="1" x14ac:dyDescent="0.3">
      <c r="H57" s="8"/>
      <c r="M57" s="351"/>
      <c r="N57" s="38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N57" s="7"/>
      <c r="AO57" s="7"/>
      <c r="AP57" s="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</row>
    <row r="58" spans="1:55" ht="18" hidden="1" customHeight="1" x14ac:dyDescent="0.3">
      <c r="H58" s="8"/>
      <c r="J58" s="352"/>
      <c r="M58" s="350"/>
      <c r="N58" s="37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N58" s="39"/>
      <c r="AO58" s="39"/>
      <c r="AP58" s="39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55" ht="18" hidden="1" customHeight="1" x14ac:dyDescent="0.3">
      <c r="H59" s="8"/>
      <c r="M59" s="258"/>
      <c r="N59" s="37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N59" s="18"/>
      <c r="AO59" s="18"/>
      <c r="AP59" s="18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1:55" ht="18" hidden="1" customHeight="1" x14ac:dyDescent="0.3">
      <c r="C60" s="6" t="s">
        <v>19</v>
      </c>
      <c r="D60" s="5">
        <f>0.00000178/(1+0.0337*$D$45+0.000221*$D$45^2)</f>
        <v>1.6141464520516888E-7</v>
      </c>
      <c r="E60" s="5">
        <f>0.00000178/(1+0.0337*$E$45+0.000221*$E$45^2)</f>
        <v>4.0072941759157111E-7</v>
      </c>
      <c r="G60" s="5">
        <f>0.00000178/(1+0.0337*$G$45+0.000221*$G$45^2)</f>
        <v>3.7311672998820908E-7</v>
      </c>
      <c r="H60" s="8"/>
      <c r="M60" s="353"/>
      <c r="N60" s="3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N60" s="18"/>
      <c r="AO60" s="18"/>
      <c r="AP60" s="18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</row>
    <row r="61" spans="1:55" ht="18" hidden="1" customHeight="1" x14ac:dyDescent="0.3">
      <c r="E61" s="343"/>
      <c r="M61" s="41"/>
      <c r="N61" s="4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N61" s="21"/>
      <c r="AO61" s="21"/>
      <c r="AP61" s="21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</row>
    <row r="62" spans="1:55" ht="18" hidden="1" customHeight="1" x14ac:dyDescent="0.3">
      <c r="D62" s="354" t="str">
        <f>"Тр1 DN"&amp;D32</f>
        <v>Тр1 DN50</v>
      </c>
      <c r="E62" s="354" t="str">
        <f>"Тр2 DN"&amp;E32</f>
        <v>Тр2 DN50</v>
      </c>
      <c r="F62" s="332"/>
      <c r="G62" s="354" t="str">
        <f>"Тр3 DN"&amp;G32</f>
        <v>Тр3 DN50</v>
      </c>
      <c r="H62" s="352"/>
      <c r="I62" s="352"/>
      <c r="M62" s="41"/>
      <c r="N62" s="4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</row>
    <row r="63" spans="1:55" ht="18" hidden="1" customHeight="1" x14ac:dyDescent="0.3">
      <c r="M63" s="41"/>
      <c r="N63" s="37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N63" s="22"/>
      <c r="AO63" s="22"/>
      <c r="AP63" s="22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</row>
    <row r="64" spans="1:55" ht="18" hidden="1" customHeight="1" x14ac:dyDescent="0.3">
      <c r="C64" s="8"/>
      <c r="D64" s="355" t="s">
        <v>104</v>
      </c>
      <c r="E64" s="8"/>
      <c r="F64" s="8"/>
      <c r="G64" s="8"/>
      <c r="H64" s="8"/>
      <c r="M64" s="41"/>
      <c r="N64" s="19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</row>
    <row r="65" spans="3:56" ht="18" hidden="1" customHeight="1" x14ac:dyDescent="0.4">
      <c r="C65" s="8"/>
      <c r="D65" s="355" t="s">
        <v>105</v>
      </c>
      <c r="E65" s="8"/>
      <c r="F65" s="8"/>
      <c r="G65" s="8"/>
      <c r="H65" s="8"/>
      <c r="M65" s="356"/>
      <c r="N65" s="41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N65" s="41"/>
      <c r="AO65" s="41"/>
      <c r="AP65" s="41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</row>
    <row r="66" spans="3:56" ht="18" hidden="1" customHeight="1" x14ac:dyDescent="0.3">
      <c r="D66" s="87" t="s">
        <v>140</v>
      </c>
      <c r="E66" s="87" t="s">
        <v>152</v>
      </c>
      <c r="G66" s="87" t="s">
        <v>152</v>
      </c>
      <c r="M66" s="41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N66" s="41"/>
      <c r="AO66" s="41"/>
      <c r="AP66" s="41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41"/>
      <c r="BD66" s="8"/>
    </row>
    <row r="67" spans="3:56" ht="18" hidden="1" customHeight="1" x14ac:dyDescent="0.3">
      <c r="C67" s="357" t="s">
        <v>146</v>
      </c>
      <c r="D67" s="358">
        <f>D45+273.15</f>
        <v>423.15</v>
      </c>
      <c r="E67" s="358">
        <f>E45+273.15</f>
        <v>343.15</v>
      </c>
      <c r="G67" s="358">
        <f>G45+273.15</f>
        <v>348.15</v>
      </c>
      <c r="M67" s="359"/>
      <c r="N67" s="258"/>
      <c r="O67" s="360"/>
      <c r="P67" s="360"/>
      <c r="Q67" s="360"/>
      <c r="R67" s="360"/>
      <c r="S67" s="360"/>
      <c r="T67" s="360"/>
      <c r="U67" s="360"/>
      <c r="V67" s="360"/>
      <c r="W67" s="360"/>
      <c r="X67" s="360"/>
      <c r="Y67" s="360"/>
      <c r="Z67" s="360"/>
      <c r="AA67" s="360"/>
      <c r="AB67" s="360"/>
      <c r="AC67" s="360"/>
      <c r="AD67" s="360"/>
      <c r="AE67" s="360"/>
      <c r="AF67" s="360"/>
      <c r="AG67" s="360"/>
      <c r="AH67" s="360"/>
      <c r="AI67" s="360"/>
      <c r="AJ67" s="360"/>
      <c r="AK67" s="360"/>
      <c r="AL67" s="360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8"/>
    </row>
    <row r="68" spans="3:56" ht="18" hidden="1" customHeight="1" x14ac:dyDescent="0.3">
      <c r="C68" s="357" t="s">
        <v>147</v>
      </c>
      <c r="D68" s="357">
        <f>D33*0.0980665</f>
        <v>0.68646549999999995</v>
      </c>
      <c r="E68" s="357">
        <f>E33*0.0980665</f>
        <v>0.4903325</v>
      </c>
      <c r="G68" s="357">
        <f>G33*0.0980665</f>
        <v>0.4903325</v>
      </c>
      <c r="M68" s="359"/>
      <c r="N68" s="258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8"/>
    </row>
    <row r="69" spans="3:56" ht="18" hidden="1" customHeight="1" x14ac:dyDescent="0.3">
      <c r="C69" s="361" t="s">
        <v>148</v>
      </c>
      <c r="D69" s="357">
        <f>1386/D67</f>
        <v>3.2754342431761789</v>
      </c>
      <c r="E69" s="357">
        <f>1386/E67</f>
        <v>4.0390499781436695</v>
      </c>
      <c r="G69" s="357">
        <f>1386/G67</f>
        <v>3.9810426540284363</v>
      </c>
      <c r="M69" s="41"/>
      <c r="N69" s="362"/>
      <c r="O69" s="41"/>
      <c r="P69" s="363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8"/>
    </row>
    <row r="70" spans="3:56" ht="18" hidden="1" customHeight="1" x14ac:dyDescent="0.3">
      <c r="C70" s="361" t="s">
        <v>149</v>
      </c>
      <c r="D70" s="357">
        <f>D68/16.53</f>
        <v>4.1528463399879E-2</v>
      </c>
      <c r="E70" s="357">
        <f>E68/16.53</f>
        <v>2.9663188142770719E-2</v>
      </c>
      <c r="G70" s="357">
        <f>G68/16.53</f>
        <v>2.9663188142770719E-2</v>
      </c>
      <c r="M70" s="364"/>
      <c r="N70" s="258"/>
      <c r="O70" s="334"/>
      <c r="P70" s="334"/>
      <c r="Q70" s="365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  <c r="AH70" s="334"/>
      <c r="AI70" s="334"/>
      <c r="AJ70" s="334"/>
      <c r="AK70" s="334"/>
      <c r="AL70" s="334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3:56" ht="18" hidden="1" customHeight="1" x14ac:dyDescent="0.3">
      <c r="C71" s="366" t="s">
        <v>150</v>
      </c>
      <c r="D71" s="366">
        <f>D70*H114*F114*D67/D68</f>
        <v>1.0903625142786899</v>
      </c>
      <c r="E71" s="366">
        <f>E70*I114*F114*E67/E68</f>
        <v>1.0225467089744245</v>
      </c>
      <c r="G71" s="367">
        <f>G70*J115*F114*G67/G68</f>
        <v>1.025610497298143</v>
      </c>
      <c r="M71" s="364"/>
      <c r="N71" s="258"/>
      <c r="O71" s="334"/>
      <c r="P71" s="334"/>
      <c r="Q71" s="365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4"/>
      <c r="AL71" s="334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3:56" ht="18" hidden="1" customHeight="1" x14ac:dyDescent="0.4">
      <c r="C72" s="88"/>
      <c r="D72" s="368">
        <f>1/D71*1000</f>
        <v>917.12617308889457</v>
      </c>
      <c r="E72" s="368">
        <f>1/E71*1000</f>
        <v>977.95043612527195</v>
      </c>
      <c r="G72" s="368">
        <f>1/G71*1000</f>
        <v>975.0290218697927</v>
      </c>
      <c r="M72" s="364"/>
      <c r="N72" s="258"/>
      <c r="O72" s="334"/>
      <c r="P72" s="334"/>
      <c r="Q72" s="365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4"/>
      <c r="AL72" s="334"/>
      <c r="AN72" s="41"/>
      <c r="AO72" s="41"/>
      <c r="AP72" s="41"/>
      <c r="AQ72" s="369"/>
      <c r="AR72" s="369"/>
      <c r="AS72" s="369"/>
      <c r="AT72" s="369"/>
      <c r="AU72" s="369"/>
      <c r="AV72" s="41"/>
      <c r="AW72" s="41"/>
      <c r="AX72" s="41"/>
      <c r="AY72" s="41"/>
      <c r="AZ72" s="41"/>
      <c r="BA72" s="41"/>
      <c r="BB72" s="41"/>
      <c r="BC72" s="41"/>
    </row>
    <row r="73" spans="3:56" ht="18" hidden="1" customHeight="1" x14ac:dyDescent="0.4">
      <c r="M73" s="364"/>
      <c r="N73" s="258"/>
      <c r="O73" s="334"/>
      <c r="P73" s="334"/>
      <c r="Q73" s="365"/>
      <c r="R73" s="334"/>
      <c r="S73" s="334"/>
      <c r="T73" s="334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  <c r="AH73" s="334"/>
      <c r="AI73" s="334"/>
      <c r="AJ73" s="334"/>
      <c r="AK73" s="334"/>
      <c r="AL73" s="334"/>
      <c r="AN73" s="41"/>
      <c r="AO73" s="41"/>
      <c r="AP73" s="41"/>
      <c r="AQ73" s="335"/>
      <c r="AR73" s="335"/>
      <c r="AS73" s="41"/>
      <c r="AT73" s="335"/>
      <c r="AU73" s="335"/>
      <c r="AV73" s="41"/>
      <c r="AW73" s="41"/>
      <c r="AX73" s="41"/>
      <c r="AY73" s="41"/>
      <c r="AZ73" s="41"/>
      <c r="BA73" s="41"/>
      <c r="BB73" s="41"/>
      <c r="BC73" s="41"/>
    </row>
    <row r="74" spans="3:56" ht="18" hidden="1" customHeight="1" x14ac:dyDescent="0.3">
      <c r="M74" s="364"/>
      <c r="N74" s="258"/>
      <c r="O74" s="334"/>
      <c r="P74" s="334"/>
      <c r="Q74" s="365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4"/>
      <c r="AL74" s="334"/>
      <c r="AN74" s="41"/>
      <c r="AO74" s="41"/>
      <c r="AP74" s="41"/>
      <c r="AQ74" s="313"/>
      <c r="AR74" s="314"/>
      <c r="AS74" s="41"/>
      <c r="AT74" s="314"/>
      <c r="AU74" s="314"/>
      <c r="AV74" s="41"/>
      <c r="AW74" s="41"/>
      <c r="AX74" s="41"/>
      <c r="AY74" s="41"/>
      <c r="AZ74" s="41"/>
      <c r="BA74" s="41"/>
      <c r="BB74" s="41"/>
      <c r="BC74" s="41"/>
    </row>
    <row r="75" spans="3:56" ht="18" hidden="1" customHeight="1" x14ac:dyDescent="0.35">
      <c r="M75" s="364"/>
      <c r="N75" s="258"/>
      <c r="O75" s="334"/>
      <c r="P75" s="334"/>
      <c r="Q75" s="365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N75" s="41"/>
      <c r="AO75" s="41"/>
      <c r="AP75" s="41"/>
      <c r="AQ75" s="316"/>
      <c r="AR75" s="338"/>
      <c r="AS75" s="41"/>
      <c r="AT75" s="316"/>
      <c r="AU75" s="338"/>
      <c r="AV75" s="41"/>
      <c r="AW75" s="41"/>
      <c r="AX75" s="41"/>
      <c r="AY75" s="41"/>
      <c r="AZ75" s="41"/>
      <c r="BA75" s="41"/>
      <c r="BB75" s="41"/>
      <c r="BC75" s="41"/>
    </row>
    <row r="76" spans="3:56" ht="18" hidden="1" customHeight="1" x14ac:dyDescent="0.3">
      <c r="M76" s="364"/>
      <c r="N76" s="258"/>
      <c r="O76" s="334"/>
      <c r="P76" s="334"/>
      <c r="Q76" s="365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N76" s="41"/>
      <c r="AO76" s="41"/>
      <c r="AP76" s="41"/>
      <c r="AQ76" s="9"/>
      <c r="AR76" s="9"/>
      <c r="AS76" s="41"/>
      <c r="AT76" s="9"/>
      <c r="AU76" s="9"/>
      <c r="AV76" s="41"/>
      <c r="AW76" s="41"/>
      <c r="AX76" s="41"/>
      <c r="AY76" s="41"/>
      <c r="AZ76" s="41"/>
      <c r="BA76" s="41"/>
      <c r="BB76" s="41"/>
      <c r="BC76" s="41"/>
    </row>
    <row r="77" spans="3:56" ht="18" hidden="1" customHeight="1" x14ac:dyDescent="0.3">
      <c r="M77" s="364"/>
      <c r="N77" s="258"/>
      <c r="O77" s="334"/>
      <c r="P77" s="334"/>
      <c r="Q77" s="365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N77" s="41"/>
      <c r="AO77" s="41"/>
      <c r="AP77" s="41"/>
      <c r="AQ77" s="41"/>
      <c r="AR77" s="41"/>
      <c r="AS77" s="41"/>
      <c r="AT77" s="10"/>
      <c r="AU77" s="10"/>
      <c r="AV77" s="41"/>
      <c r="AW77" s="41"/>
      <c r="AX77" s="41"/>
      <c r="AY77" s="41"/>
      <c r="AZ77" s="41"/>
      <c r="BA77" s="41"/>
      <c r="BB77" s="41"/>
      <c r="BC77" s="41"/>
    </row>
    <row r="78" spans="3:56" ht="18" hidden="1" customHeight="1" x14ac:dyDescent="0.3">
      <c r="M78" s="364"/>
      <c r="N78" s="258"/>
      <c r="O78" s="334"/>
      <c r="P78" s="334"/>
      <c r="Q78" s="365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N78" s="41"/>
      <c r="AO78" s="41"/>
      <c r="AP78" s="41"/>
      <c r="AQ78" s="10"/>
      <c r="AR78" s="10"/>
      <c r="AS78" s="41"/>
      <c r="AT78" s="10"/>
      <c r="AU78" s="10"/>
      <c r="AV78" s="41"/>
      <c r="AW78" s="41"/>
      <c r="AX78" s="41"/>
      <c r="AY78" s="41"/>
      <c r="AZ78" s="41"/>
      <c r="BA78" s="41"/>
      <c r="BB78" s="41"/>
      <c r="BC78" s="41"/>
    </row>
    <row r="79" spans="3:56" ht="18" hidden="1" customHeight="1" x14ac:dyDescent="0.5">
      <c r="C79" s="370" t="s">
        <v>141</v>
      </c>
      <c r="D79" s="370" t="s">
        <v>142</v>
      </c>
      <c r="E79" s="370" t="s">
        <v>143</v>
      </c>
      <c r="F79" s="371" t="s">
        <v>144</v>
      </c>
      <c r="G79" s="372"/>
      <c r="H79" s="373" t="s">
        <v>145</v>
      </c>
      <c r="I79" s="373" t="s">
        <v>145</v>
      </c>
      <c r="M79" s="364"/>
      <c r="N79" s="258"/>
      <c r="O79" s="334"/>
      <c r="P79" s="334"/>
      <c r="Q79" s="365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41"/>
      <c r="AO79" s="41"/>
      <c r="AP79" s="41"/>
      <c r="AQ79" s="41"/>
      <c r="AR79" s="41"/>
      <c r="AS79" s="41"/>
      <c r="AT79" s="10"/>
      <c r="AU79" s="10"/>
      <c r="AV79" s="41"/>
      <c r="AW79" s="41"/>
      <c r="AX79" s="41"/>
      <c r="AY79" s="41"/>
      <c r="AZ79" s="41"/>
      <c r="BA79" s="41"/>
      <c r="BB79" s="41"/>
      <c r="BC79" s="41"/>
    </row>
    <row r="80" spans="3:56" ht="18" hidden="1" customHeight="1" x14ac:dyDescent="0.5">
      <c r="C80" s="357">
        <v>1</v>
      </c>
      <c r="D80" s="357">
        <v>0</v>
      </c>
      <c r="E80" s="357">
        <v>-2</v>
      </c>
      <c r="F80" s="374">
        <v>0.14632971213167001</v>
      </c>
      <c r="G80" s="375"/>
      <c r="H80" s="376">
        <f t="shared" ref="H80:H113" si="81">-F80*D80*(7.1-$D$70)^(D80-1)*($D$69-1.222)^E80</f>
        <v>0</v>
      </c>
      <c r="I80" s="376">
        <f>-F80*D80*(7.1-$E$70)^(D80-1)*($E$69-1.222)^E80</f>
        <v>0</v>
      </c>
      <c r="J80" s="373" t="s">
        <v>145</v>
      </c>
      <c r="M80" s="364"/>
      <c r="N80" s="258"/>
      <c r="O80" s="334"/>
      <c r="P80" s="334"/>
      <c r="Q80" s="365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334"/>
      <c r="AN80" s="41"/>
      <c r="AO80" s="41"/>
      <c r="AP80" s="41"/>
      <c r="AQ80" s="10"/>
      <c r="AR80" s="10"/>
      <c r="AS80" s="41"/>
      <c r="AT80" s="10"/>
      <c r="AU80" s="10"/>
      <c r="AV80" s="41"/>
      <c r="AW80" s="41"/>
      <c r="AX80" s="41"/>
      <c r="AY80" s="41"/>
      <c r="AZ80" s="41"/>
      <c r="BA80" s="41"/>
      <c r="BB80" s="41"/>
      <c r="BC80" s="41"/>
    </row>
    <row r="81" spans="3:55" ht="18" hidden="1" customHeight="1" x14ac:dyDescent="0.3">
      <c r="C81" s="357">
        <v>2</v>
      </c>
      <c r="D81" s="357">
        <v>0</v>
      </c>
      <c r="E81" s="357">
        <v>-1</v>
      </c>
      <c r="F81" s="374">
        <v>-0.84548187169113997</v>
      </c>
      <c r="G81" s="375"/>
      <c r="H81" s="376">
        <f t="shared" si="81"/>
        <v>0</v>
      </c>
      <c r="I81" s="376">
        <f t="shared" ref="I81:I113" si="82">-F81*D81*(7.1-$E$70)^(D81-1)*($E$69-1.222)^E81</f>
        <v>0</v>
      </c>
      <c r="J81" s="377">
        <f>-F80*D80*(7.1-$G$70)^(D80-1)*($G$69-1.222)^E80</f>
        <v>0</v>
      </c>
      <c r="M81" s="364"/>
      <c r="N81" s="258"/>
      <c r="O81" s="334"/>
      <c r="P81" s="334"/>
      <c r="Q81" s="365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4"/>
      <c r="AL81" s="334"/>
      <c r="AM81" s="334"/>
      <c r="AN81" s="41"/>
      <c r="AO81" s="41"/>
      <c r="AP81" s="41"/>
      <c r="AQ81" s="10"/>
      <c r="AR81" s="10"/>
      <c r="AS81" s="41"/>
      <c r="AT81" s="10"/>
      <c r="AU81" s="10"/>
      <c r="AV81" s="41"/>
      <c r="AW81" s="41"/>
      <c r="AX81" s="41"/>
      <c r="AY81" s="41"/>
      <c r="AZ81" s="41"/>
      <c r="BA81" s="41"/>
      <c r="BB81" s="41"/>
      <c r="BC81" s="41"/>
    </row>
    <row r="82" spans="3:55" ht="18" hidden="1" customHeight="1" x14ac:dyDescent="0.3">
      <c r="C82" s="357">
        <v>3</v>
      </c>
      <c r="D82" s="357">
        <v>0</v>
      </c>
      <c r="E82" s="357">
        <v>0</v>
      </c>
      <c r="F82" s="374">
        <v>-3.756360367204</v>
      </c>
      <c r="G82" s="375"/>
      <c r="H82" s="376">
        <f t="shared" si="81"/>
        <v>0</v>
      </c>
      <c r="I82" s="376">
        <f t="shared" si="82"/>
        <v>0</v>
      </c>
      <c r="J82" s="377">
        <f t="shared" ref="J82:J114" si="83">-F81*D81*(7.1-$G$70)^(D81-1)*($G$69-1.222)^E81</f>
        <v>0</v>
      </c>
      <c r="M82" s="364"/>
      <c r="N82" s="258"/>
      <c r="O82" s="334"/>
      <c r="P82" s="334"/>
      <c r="Q82" s="365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  <c r="AH82" s="334"/>
      <c r="AI82" s="334"/>
      <c r="AJ82" s="334"/>
      <c r="AK82" s="334"/>
      <c r="AL82" s="334"/>
      <c r="AM82" s="334"/>
      <c r="AN82" s="41"/>
      <c r="AO82" s="41"/>
      <c r="AP82" s="41"/>
      <c r="AQ82" s="10"/>
      <c r="AR82" s="10"/>
      <c r="AS82" s="41"/>
      <c r="AT82" s="10"/>
      <c r="AU82" s="10"/>
      <c r="AV82" s="41"/>
      <c r="AW82" s="41"/>
      <c r="AX82" s="41"/>
      <c r="AY82" s="41"/>
      <c r="AZ82" s="41"/>
      <c r="BA82" s="41"/>
      <c r="BB82" s="41"/>
      <c r="BC82" s="41"/>
    </row>
    <row r="83" spans="3:55" ht="18" hidden="1" customHeight="1" x14ac:dyDescent="0.3">
      <c r="C83" s="357">
        <v>4</v>
      </c>
      <c r="D83" s="357">
        <v>0</v>
      </c>
      <c r="E83" s="357">
        <v>1</v>
      </c>
      <c r="F83" s="374">
        <v>3.3855169168385002</v>
      </c>
      <c r="G83" s="375"/>
      <c r="H83" s="376">
        <f t="shared" si="81"/>
        <v>0</v>
      </c>
      <c r="I83" s="376">
        <f t="shared" si="82"/>
        <v>0</v>
      </c>
      <c r="J83" s="377">
        <f t="shared" si="83"/>
        <v>0</v>
      </c>
      <c r="M83" s="350"/>
      <c r="N83" s="351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4"/>
      <c r="AI83" s="334"/>
      <c r="AJ83" s="334"/>
      <c r="AK83" s="334"/>
      <c r="AL83" s="334"/>
      <c r="AM83" s="334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3:55" ht="18" hidden="1" customHeight="1" x14ac:dyDescent="0.3">
      <c r="C84" s="357">
        <v>5</v>
      </c>
      <c r="D84" s="357">
        <v>0</v>
      </c>
      <c r="E84" s="357">
        <v>2</v>
      </c>
      <c r="F84" s="374">
        <v>-0.95791963387872003</v>
      </c>
      <c r="G84" s="375"/>
      <c r="H84" s="376">
        <f t="shared" si="81"/>
        <v>0</v>
      </c>
      <c r="I84" s="376">
        <f t="shared" si="82"/>
        <v>0</v>
      </c>
      <c r="J84" s="377">
        <f t="shared" si="83"/>
        <v>0</v>
      </c>
      <c r="M84" s="259"/>
      <c r="N84" s="345"/>
      <c r="O84" s="258"/>
      <c r="P84" s="41"/>
      <c r="Q84" s="41"/>
      <c r="R84" s="41"/>
      <c r="S84" s="41"/>
      <c r="T84" s="41"/>
      <c r="U84" s="258"/>
      <c r="V84" s="41"/>
      <c r="W84" s="41"/>
      <c r="X84" s="41"/>
      <c r="Y84" s="41"/>
      <c r="Z84" s="41"/>
      <c r="AA84" s="258"/>
      <c r="AB84" s="41"/>
      <c r="AC84" s="41"/>
      <c r="AD84" s="41"/>
      <c r="AE84" s="41"/>
      <c r="AF84" s="41"/>
      <c r="AG84" s="258"/>
      <c r="AH84" s="41"/>
      <c r="AI84" s="41"/>
      <c r="AJ84" s="41"/>
      <c r="AK84" s="41"/>
      <c r="AL84" s="41"/>
      <c r="AM84" s="334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3:55" ht="18" hidden="1" customHeight="1" x14ac:dyDescent="0.3">
      <c r="C85" s="357">
        <v>6</v>
      </c>
      <c r="D85" s="357">
        <v>0</v>
      </c>
      <c r="E85" s="357">
        <v>3</v>
      </c>
      <c r="F85" s="374">
        <v>0.15772038513228001</v>
      </c>
      <c r="G85" s="375"/>
      <c r="H85" s="376">
        <f t="shared" si="81"/>
        <v>0</v>
      </c>
      <c r="I85" s="376">
        <f t="shared" si="82"/>
        <v>0</v>
      </c>
      <c r="J85" s="377">
        <f t="shared" si="83"/>
        <v>0</v>
      </c>
      <c r="M85" s="346"/>
      <c r="N85" s="345"/>
      <c r="O85" s="258"/>
      <c r="P85" s="41"/>
      <c r="Q85" s="41"/>
      <c r="R85" s="41"/>
      <c r="S85" s="41"/>
      <c r="T85" s="41"/>
      <c r="U85" s="258"/>
      <c r="V85" s="41"/>
      <c r="W85" s="41"/>
      <c r="X85" s="41"/>
      <c r="Y85" s="41"/>
      <c r="Z85" s="41"/>
      <c r="AA85" s="258"/>
      <c r="AB85" s="41"/>
      <c r="AC85" s="41"/>
      <c r="AD85" s="41"/>
      <c r="AE85" s="41"/>
      <c r="AF85" s="41"/>
      <c r="AG85" s="258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3:55" ht="18" hidden="1" customHeight="1" x14ac:dyDescent="0.3">
      <c r="C86" s="357">
        <v>7</v>
      </c>
      <c r="D86" s="357">
        <v>0</v>
      </c>
      <c r="E86" s="357">
        <v>4</v>
      </c>
      <c r="F86" s="374">
        <v>-1.6616417199501E-2</v>
      </c>
      <c r="G86" s="375"/>
      <c r="H86" s="376">
        <f t="shared" si="81"/>
        <v>0</v>
      </c>
      <c r="I86" s="376">
        <f t="shared" si="82"/>
        <v>0</v>
      </c>
      <c r="J86" s="377">
        <f t="shared" si="83"/>
        <v>0</v>
      </c>
      <c r="M86" s="41"/>
      <c r="N86" s="34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41"/>
      <c r="AN86" s="258"/>
      <c r="AO86" s="258"/>
      <c r="AP86" s="349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3:55" ht="18" hidden="1" customHeight="1" x14ac:dyDescent="0.3">
      <c r="C87" s="357">
        <v>8</v>
      </c>
      <c r="D87" s="357">
        <v>0</v>
      </c>
      <c r="E87" s="357">
        <v>5</v>
      </c>
      <c r="F87" s="374">
        <v>8.1214629983567997E-4</v>
      </c>
      <c r="G87" s="375"/>
      <c r="H87" s="376">
        <f t="shared" si="81"/>
        <v>0</v>
      </c>
      <c r="I87" s="376">
        <f t="shared" si="82"/>
        <v>0</v>
      </c>
      <c r="J87" s="377">
        <f t="shared" si="83"/>
        <v>0</v>
      </c>
      <c r="M87" s="350"/>
      <c r="N87" s="37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349"/>
      <c r="AN87" s="18"/>
      <c r="AO87" s="18"/>
      <c r="AP87" s="18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3:55" ht="18" hidden="1" customHeight="1" x14ac:dyDescent="0.3">
      <c r="C88" s="357">
        <v>9</v>
      </c>
      <c r="D88" s="357">
        <v>1</v>
      </c>
      <c r="E88" s="357">
        <v>-9</v>
      </c>
      <c r="F88" s="374">
        <v>2.8319080123804E-4</v>
      </c>
      <c r="G88" s="375"/>
      <c r="H88" s="376">
        <f t="shared" si="81"/>
        <v>-4.3626657632714847E-7</v>
      </c>
      <c r="I88" s="376">
        <f t="shared" si="82"/>
        <v>-2.534709392903721E-8</v>
      </c>
      <c r="J88" s="377">
        <f t="shared" si="83"/>
        <v>0</v>
      </c>
      <c r="M88" s="351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46"/>
      <c r="AN88" s="37"/>
      <c r="AO88" s="37"/>
      <c r="AP88" s="37"/>
      <c r="AQ88" s="349"/>
      <c r="AR88" s="349"/>
      <c r="AS88" s="258"/>
      <c r="AT88" s="258"/>
      <c r="AU88" s="258"/>
      <c r="AV88" s="258"/>
      <c r="AW88" s="349"/>
      <c r="AX88" s="349"/>
      <c r="AY88" s="258"/>
      <c r="AZ88" s="258"/>
      <c r="BA88" s="258"/>
      <c r="BB88" s="258"/>
      <c r="BC88" s="349"/>
    </row>
    <row r="89" spans="3:55" ht="18" hidden="1" customHeight="1" x14ac:dyDescent="0.3">
      <c r="C89" s="357">
        <v>10</v>
      </c>
      <c r="D89" s="357">
        <v>1</v>
      </c>
      <c r="E89" s="357">
        <v>-7</v>
      </c>
      <c r="F89" s="374">
        <v>-6.0706301565873996E-4</v>
      </c>
      <c r="G89" s="375"/>
      <c r="H89" s="376">
        <f t="shared" si="81"/>
        <v>3.9433758693388875E-6</v>
      </c>
      <c r="I89" s="376">
        <f t="shared" si="82"/>
        <v>4.3119320756857168E-7</v>
      </c>
      <c r="J89" s="377">
        <f t="shared" si="83"/>
        <v>-3.0567041798351034E-8</v>
      </c>
      <c r="M89" s="351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45"/>
      <c r="AN89" s="37"/>
      <c r="AO89" s="37"/>
      <c r="AP89" s="37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</row>
    <row r="90" spans="3:55" ht="18" hidden="1" customHeight="1" x14ac:dyDescent="0.3">
      <c r="C90" s="357">
        <v>11</v>
      </c>
      <c r="D90" s="357">
        <v>1</v>
      </c>
      <c r="E90" s="357">
        <v>-1</v>
      </c>
      <c r="F90" s="374">
        <v>-1.8990068218419E-2</v>
      </c>
      <c r="G90" s="375"/>
      <c r="H90" s="376">
        <f t="shared" si="81"/>
        <v>9.2479553613783322E-3</v>
      </c>
      <c r="I90" s="376">
        <f t="shared" si="82"/>
        <v>6.7411186758329173E-3</v>
      </c>
      <c r="J90" s="377">
        <f t="shared" si="83"/>
        <v>4.9879819446931661E-7</v>
      </c>
      <c r="M90" s="351"/>
      <c r="N90" s="38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45"/>
      <c r="AN90" s="7"/>
      <c r="AO90" s="7"/>
      <c r="AP90" s="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3:55" ht="18" hidden="1" customHeight="1" x14ac:dyDescent="0.3">
      <c r="C91" s="357">
        <v>12</v>
      </c>
      <c r="D91" s="357">
        <v>1</v>
      </c>
      <c r="E91" s="357">
        <v>0</v>
      </c>
      <c r="F91" s="374">
        <v>-3.2529748770504997E-2</v>
      </c>
      <c r="G91" s="375"/>
      <c r="H91" s="376">
        <f t="shared" si="81"/>
        <v>3.2529748770504997E-2</v>
      </c>
      <c r="I91" s="376">
        <f t="shared" si="82"/>
        <v>3.2529748770504997E-2</v>
      </c>
      <c r="J91" s="377">
        <f t="shared" si="83"/>
        <v>6.8828469145599796E-3</v>
      </c>
      <c r="M91" s="350"/>
      <c r="N91" s="37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48"/>
      <c r="AN91" s="39"/>
      <c r="AO91" s="39"/>
      <c r="AP91" s="39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3:55" ht="18" hidden="1" customHeight="1" x14ac:dyDescent="0.3">
      <c r="C92" s="357">
        <v>13</v>
      </c>
      <c r="D92" s="357">
        <v>1</v>
      </c>
      <c r="E92" s="357">
        <v>1</v>
      </c>
      <c r="F92" s="374">
        <v>-2.1841717175413999E-2</v>
      </c>
      <c r="G92" s="375"/>
      <c r="H92" s="376">
        <f t="shared" si="81"/>
        <v>4.4850529977764397E-2</v>
      </c>
      <c r="I92" s="376">
        <f t="shared" si="82"/>
        <v>6.1529208891620217E-2</v>
      </c>
      <c r="J92" s="377">
        <f t="shared" si="83"/>
        <v>3.2529748770504997E-2</v>
      </c>
      <c r="M92" s="258"/>
      <c r="N92" s="3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49"/>
      <c r="AN92" s="18"/>
      <c r="AO92" s="18"/>
      <c r="AP92" s="18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</row>
    <row r="93" spans="3:55" ht="18" hidden="1" customHeight="1" x14ac:dyDescent="0.3">
      <c r="C93" s="357">
        <v>14</v>
      </c>
      <c r="D93" s="357">
        <v>1</v>
      </c>
      <c r="E93" s="357">
        <v>3</v>
      </c>
      <c r="F93" s="374">
        <v>-5.2838357969930002E-5</v>
      </c>
      <c r="G93" s="375"/>
      <c r="H93" s="376">
        <f t="shared" si="81"/>
        <v>4.5750064743828984E-4</v>
      </c>
      <c r="I93" s="376">
        <f t="shared" si="82"/>
        <v>1.1812259215529407E-3</v>
      </c>
      <c r="J93" s="377">
        <f t="shared" si="83"/>
        <v>6.0262229324192722E-2</v>
      </c>
      <c r="M93" s="353"/>
      <c r="N93" s="3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46"/>
      <c r="AN93" s="18"/>
      <c r="AO93" s="18"/>
      <c r="AP93" s="18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</row>
    <row r="94" spans="3:55" ht="18" hidden="1" customHeight="1" x14ac:dyDescent="0.3">
      <c r="C94" s="357">
        <v>15</v>
      </c>
      <c r="D94" s="357">
        <v>2</v>
      </c>
      <c r="E94" s="357">
        <v>-3</v>
      </c>
      <c r="F94" s="374">
        <v>-4.7184321073266998E-4</v>
      </c>
      <c r="G94" s="375"/>
      <c r="H94" s="376">
        <f t="shared" si="81"/>
        <v>7.6930042731410445E-4</v>
      </c>
      <c r="I94" s="376">
        <f t="shared" si="82"/>
        <v>2.9845863815808034E-4</v>
      </c>
      <c r="J94" s="377">
        <f t="shared" si="83"/>
        <v>1.1097484742839572E-3</v>
      </c>
      <c r="M94" s="41"/>
      <c r="N94" s="4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46"/>
      <c r="AN94" s="21"/>
      <c r="AO94" s="21"/>
      <c r="AP94" s="21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</row>
    <row r="95" spans="3:55" ht="18" hidden="1" customHeight="1" x14ac:dyDescent="0.3">
      <c r="C95" s="357">
        <v>16</v>
      </c>
      <c r="D95" s="357">
        <v>2</v>
      </c>
      <c r="E95" s="357">
        <v>0</v>
      </c>
      <c r="F95" s="374">
        <v>-3.0001780793025999E-4</v>
      </c>
      <c r="G95" s="375"/>
      <c r="H95" s="376">
        <f t="shared" si="81"/>
        <v>4.2353343154978044E-3</v>
      </c>
      <c r="I95" s="376">
        <f t="shared" si="82"/>
        <v>4.2424539032440579E-3</v>
      </c>
      <c r="J95" s="377">
        <f t="shared" si="83"/>
        <v>3.1768196854804233E-4</v>
      </c>
      <c r="M95" s="41"/>
      <c r="N95" s="4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50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</row>
    <row r="96" spans="3:55" ht="18" hidden="1" customHeight="1" x14ac:dyDescent="0.3">
      <c r="C96" s="357">
        <v>17</v>
      </c>
      <c r="D96" s="357">
        <v>2</v>
      </c>
      <c r="E96" s="357">
        <v>1</v>
      </c>
      <c r="F96" s="374">
        <v>4.7661393906987001E-5</v>
      </c>
      <c r="G96" s="375"/>
      <c r="H96" s="376">
        <f t="shared" si="81"/>
        <v>-1.3816187011501634E-3</v>
      </c>
      <c r="I96" s="376">
        <f t="shared" si="82"/>
        <v>-1.8985908790791187E-3</v>
      </c>
      <c r="J96" s="377">
        <f t="shared" si="83"/>
        <v>4.2424539032440579E-3</v>
      </c>
      <c r="M96" s="41"/>
      <c r="N96" s="37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46"/>
      <c r="AN96" s="22"/>
      <c r="AO96" s="22"/>
      <c r="AP96" s="22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</row>
    <row r="97" spans="3:55" ht="18" hidden="1" customHeight="1" x14ac:dyDescent="0.3">
      <c r="C97" s="357">
        <v>18</v>
      </c>
      <c r="D97" s="357">
        <v>2</v>
      </c>
      <c r="E97" s="357">
        <v>3</v>
      </c>
      <c r="F97" s="374">
        <v>-4.4141845330845997E-6</v>
      </c>
      <c r="G97" s="375"/>
      <c r="H97" s="376">
        <f t="shared" si="81"/>
        <v>5.3955230015168248E-4</v>
      </c>
      <c r="I97" s="376">
        <f t="shared" si="82"/>
        <v>1.3954177381040739E-3</v>
      </c>
      <c r="J97" s="377">
        <f t="shared" si="83"/>
        <v>-1.8594960183775202E-3</v>
      </c>
      <c r="M97" s="350"/>
      <c r="N97" s="19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51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8" spans="3:55" ht="18" hidden="1" customHeight="1" x14ac:dyDescent="0.3">
      <c r="C98" s="357">
        <v>19</v>
      </c>
      <c r="D98" s="357">
        <v>2</v>
      </c>
      <c r="E98" s="357">
        <v>17</v>
      </c>
      <c r="F98" s="374">
        <v>-7.2694996297594001E-16</v>
      </c>
      <c r="G98" s="375"/>
      <c r="H98" s="376">
        <f t="shared" si="81"/>
        <v>2.1058080582966695E-9</v>
      </c>
      <c r="I98" s="376">
        <f t="shared" si="82"/>
        <v>4.5549330865626397E-7</v>
      </c>
      <c r="J98" s="377">
        <f t="shared" si="83"/>
        <v>1.3109792780486003E-3</v>
      </c>
      <c r="M98" s="8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46"/>
      <c r="AN98" s="21"/>
      <c r="AO98" s="21"/>
      <c r="AP98" s="21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</row>
    <row r="99" spans="3:55" ht="18" hidden="1" customHeight="1" x14ac:dyDescent="0.3">
      <c r="C99" s="357">
        <v>20</v>
      </c>
      <c r="D99" s="357">
        <v>3</v>
      </c>
      <c r="E99" s="357">
        <v>-4</v>
      </c>
      <c r="F99" s="374">
        <v>-3.1679644845054002E-5</v>
      </c>
      <c r="G99" s="375"/>
      <c r="H99" s="376">
        <f t="shared" si="81"/>
        <v>2.6631749313072291E-4</v>
      </c>
      <c r="I99" s="376">
        <f t="shared" si="82"/>
        <v>7.5440326038403533E-5</v>
      </c>
      <c r="J99" s="377">
        <f t="shared" si="83"/>
        <v>3.1979205188439103E-7</v>
      </c>
      <c r="AG99" s="18"/>
      <c r="AH99" s="18"/>
      <c r="AI99" s="18"/>
      <c r="AJ99" s="18"/>
      <c r="AK99" s="18"/>
      <c r="AL99" s="18"/>
      <c r="AM99" s="25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8"/>
    </row>
    <row r="100" spans="3:55" ht="18" hidden="1" customHeight="1" x14ac:dyDescent="0.3">
      <c r="C100" s="357">
        <v>21</v>
      </c>
      <c r="D100" s="357">
        <v>3</v>
      </c>
      <c r="E100" s="357">
        <v>0</v>
      </c>
      <c r="F100" s="374">
        <v>-2.8270797985312E-6</v>
      </c>
      <c r="G100" s="375"/>
      <c r="H100" s="376">
        <f t="shared" si="81"/>
        <v>4.2255248246437864E-4</v>
      </c>
      <c r="I100" s="376">
        <f t="shared" si="82"/>
        <v>4.2397429609631021E-4</v>
      </c>
      <c r="J100" s="377">
        <f t="shared" si="83"/>
        <v>8.1987587287775173E-5</v>
      </c>
      <c r="AG100" s="22"/>
      <c r="AH100" s="22"/>
      <c r="AI100" s="22"/>
      <c r="AJ100" s="22"/>
      <c r="AK100" s="22"/>
      <c r="AL100" s="22"/>
      <c r="AM100" s="258"/>
      <c r="AN100" s="22"/>
      <c r="AO100" s="22"/>
      <c r="AP100" s="22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8"/>
    </row>
    <row r="101" spans="3:55" ht="18" hidden="1" customHeight="1" x14ac:dyDescent="0.3">
      <c r="C101" s="357">
        <v>22</v>
      </c>
      <c r="D101" s="357">
        <v>3</v>
      </c>
      <c r="E101" s="357">
        <v>6</v>
      </c>
      <c r="F101" s="374">
        <v>-8.5205128120103004E-10</v>
      </c>
      <c r="G101" s="375"/>
      <c r="H101" s="376">
        <f t="shared" si="81"/>
        <v>9.5475760071700162E-6</v>
      </c>
      <c r="I101" s="376">
        <f t="shared" si="82"/>
        <v>6.3860822298248741E-5</v>
      </c>
      <c r="J101" s="377">
        <f t="shared" si="83"/>
        <v>4.2397429609631021E-4</v>
      </c>
      <c r="AG101" s="8"/>
      <c r="AH101" s="8"/>
      <c r="AI101" s="8"/>
      <c r="AJ101" s="8"/>
      <c r="AK101" s="8"/>
      <c r="AL101" s="8"/>
      <c r="AM101" s="360"/>
      <c r="AN101" s="8"/>
      <c r="AO101" s="8"/>
      <c r="AP101" s="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8"/>
    </row>
    <row r="102" spans="3:55" ht="18" hidden="1" customHeight="1" x14ac:dyDescent="0.3">
      <c r="C102" s="357">
        <v>23</v>
      </c>
      <c r="D102" s="357">
        <v>4</v>
      </c>
      <c r="E102" s="357">
        <v>-5</v>
      </c>
      <c r="F102" s="374">
        <v>-2.2425281907999999E-6</v>
      </c>
      <c r="G102" s="375"/>
      <c r="H102" s="376">
        <f t="shared" si="81"/>
        <v>8.6402419792349879E-5</v>
      </c>
      <c r="I102" s="376">
        <f t="shared" si="82"/>
        <v>1.7870859947547514E-5</v>
      </c>
      <c r="J102" s="377">
        <f t="shared" si="83"/>
        <v>5.6366060438242642E-5</v>
      </c>
      <c r="AG102" s="8"/>
      <c r="AH102" s="8"/>
      <c r="AI102" s="8"/>
      <c r="AJ102" s="8"/>
      <c r="AK102" s="8"/>
      <c r="AL102" s="8"/>
      <c r="AM102" s="360"/>
      <c r="AN102" s="8"/>
      <c r="AO102" s="8"/>
      <c r="AP102" s="8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8"/>
    </row>
    <row r="103" spans="3:55" ht="18" hidden="1" customHeight="1" x14ac:dyDescent="0.3">
      <c r="C103" s="357">
        <v>24</v>
      </c>
      <c r="D103" s="357">
        <v>4</v>
      </c>
      <c r="E103" s="357">
        <v>-2</v>
      </c>
      <c r="F103" s="374">
        <v>-6.5171222895601002E-7</v>
      </c>
      <c r="G103" s="375"/>
      <c r="H103" s="376">
        <f t="shared" si="81"/>
        <v>2.1741337848358344E-4</v>
      </c>
      <c r="I103" s="376">
        <f t="shared" si="82"/>
        <v>1.1610396902256198E-4</v>
      </c>
      <c r="J103" s="377">
        <f t="shared" si="83"/>
        <v>1.9830156346379899E-5</v>
      </c>
      <c r="AG103" s="8"/>
      <c r="AH103" s="8"/>
      <c r="AI103" s="8"/>
      <c r="AJ103" s="8"/>
      <c r="AK103" s="8"/>
      <c r="AL103" s="8"/>
      <c r="AM103" s="41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ht="18" hidden="1" customHeight="1" x14ac:dyDescent="0.3">
      <c r="C104" s="357">
        <v>25</v>
      </c>
      <c r="D104" s="357">
        <v>4</v>
      </c>
      <c r="E104" s="357">
        <v>10</v>
      </c>
      <c r="F104" s="374">
        <v>-1.4341729937923999E-13</v>
      </c>
      <c r="G104" s="375"/>
      <c r="H104" s="376">
        <f t="shared" si="81"/>
        <v>2.6890664574220478E-7</v>
      </c>
      <c r="I104" s="376">
        <f t="shared" si="82"/>
        <v>6.3815673985494293E-6</v>
      </c>
      <c r="J104" s="377">
        <f t="shared" si="83"/>
        <v>1.2103733175630807E-4</v>
      </c>
      <c r="AM104" s="334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ht="18" hidden="1" customHeight="1" x14ac:dyDescent="0.3">
      <c r="C105" s="357">
        <v>26</v>
      </c>
      <c r="D105" s="357">
        <v>5</v>
      </c>
      <c r="E105" s="357">
        <v>-8</v>
      </c>
      <c r="F105" s="374">
        <v>-4.0516996860117E-7</v>
      </c>
      <c r="G105" s="375"/>
      <c r="H105" s="376">
        <f t="shared" si="81"/>
        <v>1.5907558264501571E-5</v>
      </c>
      <c r="I105" s="376">
        <f t="shared" si="82"/>
        <v>1.2764718674668421E-6</v>
      </c>
      <c r="J105" s="377">
        <f t="shared" si="83"/>
        <v>5.1828183334008508E-6</v>
      </c>
      <c r="AM105" s="334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ht="18" hidden="1" customHeight="1" x14ac:dyDescent="0.3">
      <c r="C106" s="357">
        <v>27</v>
      </c>
      <c r="D106" s="357">
        <v>8</v>
      </c>
      <c r="E106" s="357">
        <v>-11</v>
      </c>
      <c r="F106" s="374">
        <v>-1.2734301741640999E-9</v>
      </c>
      <c r="G106" s="375"/>
      <c r="H106" s="376">
        <f t="shared" si="81"/>
        <v>3.249009617397459E-6</v>
      </c>
      <c r="I106" s="376">
        <f t="shared" si="82"/>
        <v>1.0148591499429698E-7</v>
      </c>
      <c r="J106" s="377">
        <f t="shared" si="83"/>
        <v>1.5076493573635317E-6</v>
      </c>
      <c r="AM106" s="334"/>
    </row>
    <row r="107" spans="3:55" ht="18" hidden="1" customHeight="1" x14ac:dyDescent="0.3">
      <c r="C107" s="357">
        <v>28</v>
      </c>
      <c r="D107" s="357">
        <v>8</v>
      </c>
      <c r="E107" s="357">
        <v>-6</v>
      </c>
      <c r="F107" s="374">
        <v>-1.7424871230634001E-10</v>
      </c>
      <c r="G107" s="375"/>
      <c r="H107" s="376">
        <f t="shared" si="81"/>
        <v>1.6231155491811434E-5</v>
      </c>
      <c r="I107" s="376">
        <f t="shared" si="82"/>
        <v>2.4636157546215822E-6</v>
      </c>
      <c r="J107" s="377">
        <f t="shared" si="83"/>
        <v>1.2758607673014293E-7</v>
      </c>
      <c r="AM107" s="334"/>
    </row>
    <row r="108" spans="3:55" ht="18" hidden="1" customHeight="1" x14ac:dyDescent="0.3">
      <c r="C108" s="357">
        <v>29</v>
      </c>
      <c r="D108" s="357">
        <v>21</v>
      </c>
      <c r="E108" s="357">
        <v>-29</v>
      </c>
      <c r="F108" s="374">
        <v>-6.8762131295530996E-19</v>
      </c>
      <c r="G108" s="375"/>
      <c r="H108" s="376">
        <f t="shared" si="81"/>
        <v>1.1798825475177741E-9</v>
      </c>
      <c r="I108" s="376">
        <f t="shared" si="82"/>
        <v>1.2715360397456955E-13</v>
      </c>
      <c r="J108" s="377">
        <f t="shared" si="83"/>
        <v>2.7911925490948847E-6</v>
      </c>
      <c r="AM108" s="334"/>
    </row>
    <row r="109" spans="3:55" ht="18" hidden="1" customHeight="1" x14ac:dyDescent="0.3">
      <c r="C109" s="357">
        <v>30</v>
      </c>
      <c r="D109" s="357">
        <v>23</v>
      </c>
      <c r="E109" s="357">
        <v>-31</v>
      </c>
      <c r="F109" s="374">
        <v>1.4478307828521001E-20</v>
      </c>
      <c r="G109" s="375"/>
      <c r="H109" s="376">
        <f t="shared" si="81"/>
        <v>-3.2149596803849298E-10</v>
      </c>
      <c r="I109" s="376">
        <f t="shared" si="82"/>
        <v>-1.8471271592683196E-14</v>
      </c>
      <c r="J109" s="377">
        <f t="shared" si="83"/>
        <v>2.3247521539894402E-13</v>
      </c>
      <c r="AM109" s="334"/>
    </row>
    <row r="110" spans="3:55" ht="18" hidden="1" customHeight="1" x14ac:dyDescent="0.3">
      <c r="C110" s="357">
        <v>31</v>
      </c>
      <c r="D110" s="357">
        <v>29</v>
      </c>
      <c r="E110" s="357">
        <v>-38</v>
      </c>
      <c r="F110" s="374">
        <v>2.6335781662795E-23</v>
      </c>
      <c r="G110" s="375"/>
      <c r="H110" s="376">
        <f t="shared" si="81"/>
        <v>-5.9234197029115603E-10</v>
      </c>
      <c r="I110" s="376">
        <f t="shared" si="82"/>
        <v>-3.7590154980877989E-15</v>
      </c>
      <c r="J110" s="377">
        <f t="shared" si="83"/>
        <v>-3.5206029901610306E-14</v>
      </c>
      <c r="AM110" s="334"/>
    </row>
    <row r="111" spans="3:55" ht="18" hidden="1" customHeight="1" x14ac:dyDescent="0.3">
      <c r="C111" s="357">
        <v>32</v>
      </c>
      <c r="D111" s="357">
        <v>30</v>
      </c>
      <c r="E111" s="357">
        <v>-39</v>
      </c>
      <c r="F111" s="374">
        <v>-1.1947622640071E-23</v>
      </c>
      <c r="G111" s="375"/>
      <c r="H111" s="376">
        <f t="shared" si="81"/>
        <v>9.5556649622804292E-10</v>
      </c>
      <c r="I111" s="376">
        <f t="shared" si="82"/>
        <v>4.427700210861992E-15</v>
      </c>
      <c r="J111" s="377">
        <f t="shared" si="83"/>
        <v>-8.2879541068942903E-15</v>
      </c>
      <c r="AM111" s="334"/>
    </row>
    <row r="112" spans="3:55" ht="18" hidden="1" customHeight="1" x14ac:dyDescent="0.3">
      <c r="C112" s="357">
        <v>33</v>
      </c>
      <c r="D112" s="357">
        <v>31</v>
      </c>
      <c r="E112" s="357">
        <v>-40</v>
      </c>
      <c r="F112" s="374">
        <v>1.8228094581404E-24</v>
      </c>
      <c r="G112" s="375"/>
      <c r="H112" s="376">
        <f t="shared" si="81"/>
        <v>-5.1783451899624831E-10</v>
      </c>
      <c r="I112" s="376">
        <f t="shared" si="82"/>
        <v>-1.7519591450029639E-15</v>
      </c>
      <c r="J112" s="377">
        <f t="shared" si="83"/>
        <v>9.9675303531737693E-15</v>
      </c>
      <c r="AM112" s="334"/>
    </row>
    <row r="113" spans="3:39" ht="18" hidden="1" customHeight="1" x14ac:dyDescent="0.3">
      <c r="C113" s="357">
        <v>34</v>
      </c>
      <c r="D113" s="357">
        <v>32</v>
      </c>
      <c r="E113" s="357">
        <v>-41</v>
      </c>
      <c r="F113" s="374">
        <v>-9.3537087292457998E-26</v>
      </c>
      <c r="G113" s="375"/>
      <c r="H113" s="376">
        <f t="shared" si="81"/>
        <v>9.4286978377240609E-11</v>
      </c>
      <c r="I113" s="376">
        <f t="shared" si="82"/>
        <v>2.3291656597313538E-16</v>
      </c>
      <c r="J113" s="377">
        <f t="shared" si="83"/>
        <v>-4.026887255961634E-15</v>
      </c>
      <c r="AM113" s="334"/>
    </row>
    <row r="114" spans="3:39" ht="18" hidden="1" customHeight="1" x14ac:dyDescent="0.3">
      <c r="C114" s="375"/>
      <c r="D114" s="375"/>
      <c r="E114" s="378" t="s">
        <v>151</v>
      </c>
      <c r="F114" s="6">
        <v>0.46152599999999999</v>
      </c>
      <c r="G114" s="375"/>
      <c r="H114" s="379">
        <f>SUM(H88:H113)</f>
        <v>9.2289703091961717E-2</v>
      </c>
      <c r="I114" s="379">
        <f>SUM(I88:I113)</f>
        <v>0.10672737641380697</v>
      </c>
      <c r="J114" s="377">
        <f t="shared" si="83"/>
        <v>5.4661558736345626E-16</v>
      </c>
      <c r="AM114" s="334"/>
    </row>
    <row r="115" spans="3:39" ht="18" hidden="1" customHeight="1" x14ac:dyDescent="0.3">
      <c r="J115" s="380">
        <f>SUM(J89:J114)</f>
        <v>0.10550978531664645</v>
      </c>
      <c r="AM115" s="334"/>
    </row>
    <row r="116" spans="3:39" ht="18" hidden="1" customHeight="1" x14ac:dyDescent="0.3">
      <c r="AM116" s="334"/>
    </row>
    <row r="117" spans="3:39" ht="18" hidden="1" customHeight="1" x14ac:dyDescent="0.3">
      <c r="AM117" s="334"/>
    </row>
    <row r="118" spans="3:39" ht="18" hidden="1" customHeight="1" x14ac:dyDescent="0.3">
      <c r="AM118" s="41"/>
    </row>
    <row r="119" spans="3:39" ht="18" hidden="1" customHeight="1" x14ac:dyDescent="0.3">
      <c r="AM119" s="41"/>
    </row>
    <row r="120" spans="3:39" hidden="1" x14ac:dyDescent="0.3">
      <c r="AM120" s="349"/>
    </row>
    <row r="121" spans="3:39" ht="15" hidden="1" x14ac:dyDescent="0.3">
      <c r="AM121" s="46"/>
    </row>
    <row r="122" spans="3:39" ht="15" hidden="1" x14ac:dyDescent="0.3">
      <c r="AM122" s="45"/>
    </row>
    <row r="123" spans="3:39" ht="15" hidden="1" x14ac:dyDescent="0.3">
      <c r="AM123" s="45"/>
    </row>
    <row r="124" spans="3:39" ht="15" hidden="1" x14ac:dyDescent="0.3">
      <c r="AM124" s="48"/>
    </row>
    <row r="125" spans="3:39" ht="15" hidden="1" x14ac:dyDescent="0.3">
      <c r="AM125" s="49"/>
    </row>
    <row r="126" spans="3:39" ht="15" hidden="1" x14ac:dyDescent="0.3">
      <c r="AM126" s="46"/>
    </row>
    <row r="127" spans="3:39" ht="15" hidden="1" x14ac:dyDescent="0.3">
      <c r="AM127" s="46"/>
    </row>
    <row r="128" spans="3:39" ht="15" hidden="1" x14ac:dyDescent="0.3">
      <c r="AM128" s="50"/>
    </row>
    <row r="129" spans="39:39" ht="15" hidden="1" x14ac:dyDescent="0.3">
      <c r="AM129" s="46"/>
    </row>
    <row r="130" spans="39:39" ht="15.45" hidden="1" x14ac:dyDescent="0.3">
      <c r="AM130" s="51"/>
    </row>
    <row r="131" spans="39:39" ht="15" hidden="1" x14ac:dyDescent="0.3">
      <c r="AM131" s="53"/>
    </row>
    <row r="132" spans="39:39" hidden="1" x14ac:dyDescent="0.3">
      <c r="AM132" s="258"/>
    </row>
    <row r="133" spans="39:39" x14ac:dyDescent="0.3">
      <c r="AM133" s="258"/>
    </row>
    <row r="134" spans="39:39" x14ac:dyDescent="0.3">
      <c r="AM134" s="360"/>
    </row>
    <row r="135" spans="39:39" x14ac:dyDescent="0.3">
      <c r="AM135" s="360"/>
    </row>
    <row r="136" spans="39:39" x14ac:dyDescent="0.3">
      <c r="AM136" s="41"/>
    </row>
    <row r="137" spans="39:39" x14ac:dyDescent="0.3">
      <c r="AM137" s="334"/>
    </row>
    <row r="138" spans="39:39" x14ac:dyDescent="0.3">
      <c r="AM138" s="334"/>
    </row>
    <row r="139" spans="39:39" x14ac:dyDescent="0.3">
      <c r="AM139" s="334"/>
    </row>
    <row r="140" spans="39:39" x14ac:dyDescent="0.3">
      <c r="AM140" s="334"/>
    </row>
    <row r="141" spans="39:39" x14ac:dyDescent="0.3">
      <c r="AM141" s="334"/>
    </row>
    <row r="142" spans="39:39" x14ac:dyDescent="0.3">
      <c r="AM142" s="334"/>
    </row>
    <row r="143" spans="39:39" x14ac:dyDescent="0.3">
      <c r="AM143" s="334"/>
    </row>
    <row r="144" spans="39:39" x14ac:dyDescent="0.3">
      <c r="AM144" s="334"/>
    </row>
    <row r="145" spans="39:39" x14ac:dyDescent="0.3">
      <c r="AM145" s="334"/>
    </row>
    <row r="146" spans="39:39" x14ac:dyDescent="0.3">
      <c r="AM146" s="334"/>
    </row>
    <row r="147" spans="39:39" x14ac:dyDescent="0.3">
      <c r="AM147" s="334"/>
    </row>
    <row r="148" spans="39:39" x14ac:dyDescent="0.3">
      <c r="AM148" s="334"/>
    </row>
    <row r="149" spans="39:39" x14ac:dyDescent="0.3">
      <c r="AM149" s="334"/>
    </row>
    <row r="150" spans="39:39" x14ac:dyDescent="0.3">
      <c r="AM150" s="334"/>
    </row>
    <row r="151" spans="39:39" x14ac:dyDescent="0.3">
      <c r="AM151" s="41"/>
    </row>
    <row r="152" spans="39:39" x14ac:dyDescent="0.3">
      <c r="AM152" s="41"/>
    </row>
    <row r="153" spans="39:39" x14ac:dyDescent="0.3">
      <c r="AM153" s="349"/>
    </row>
    <row r="154" spans="39:39" ht="15" x14ac:dyDescent="0.3">
      <c r="AM154" s="46"/>
    </row>
    <row r="155" spans="39:39" ht="15" x14ac:dyDescent="0.3">
      <c r="AM155" s="45"/>
    </row>
    <row r="156" spans="39:39" ht="15" x14ac:dyDescent="0.3">
      <c r="AM156" s="45"/>
    </row>
    <row r="157" spans="39:39" ht="15" x14ac:dyDescent="0.3">
      <c r="AM157" s="48"/>
    </row>
    <row r="158" spans="39:39" ht="15" x14ac:dyDescent="0.3">
      <c r="AM158" s="49"/>
    </row>
    <row r="159" spans="39:39" ht="15" x14ac:dyDescent="0.3">
      <c r="AM159" s="46"/>
    </row>
    <row r="160" spans="39:39" ht="15" x14ac:dyDescent="0.3">
      <c r="AM160" s="46"/>
    </row>
    <row r="161" spans="39:39" ht="15" x14ac:dyDescent="0.3">
      <c r="AM161" s="50"/>
    </row>
    <row r="162" spans="39:39" ht="15" x14ac:dyDescent="0.3">
      <c r="AM162" s="46"/>
    </row>
    <row r="163" spans="39:39" ht="15.45" x14ac:dyDescent="0.3">
      <c r="AM163" s="51"/>
    </row>
  </sheetData>
  <sheetProtection algorithmName="SHA-512" hashValue="OODWWLyLgu6tkNE6LI6P4XipVcAYNtic5IBjd8Unypp3cvwFxwiyV2Esi8yC+lArVdnkQ2sCQvYvv+NJ6UZRTQ==" saltValue="deyr4p8XAZaMdgZVlq0v8A==" spinCount="100000" sheet="1" objects="1" scenarios="1"/>
  <customSheetViews>
    <customSheetView guid="{AAE00E0F-58A4-431B-A945-2FAABDFF301E}" scale="70" showGridLines="0" hiddenRows="1" hiddenColumns="1">
      <selection activeCell="H21" sqref="H21"/>
      <pageMargins left="0.75" right="0.75" top="1" bottom="1" header="0.5" footer="0.5"/>
      <headerFooter alignWithMargins="0"/>
    </customSheetView>
  </customSheetViews>
  <mergeCells count="35">
    <mergeCell ref="E25:G25"/>
    <mergeCell ref="B41:D41"/>
    <mergeCell ref="E41:G41"/>
    <mergeCell ref="B39:C39"/>
    <mergeCell ref="B29:C29"/>
    <mergeCell ref="B30:C30"/>
    <mergeCell ref="D29:E29"/>
    <mergeCell ref="B36:C36"/>
    <mergeCell ref="D30:E30"/>
    <mergeCell ref="B37:C37"/>
    <mergeCell ref="B38:C38"/>
    <mergeCell ref="B31:C31"/>
    <mergeCell ref="B32:C32"/>
    <mergeCell ref="B33:C33"/>
    <mergeCell ref="AG1:AH1"/>
    <mergeCell ref="Z2:AA2"/>
    <mergeCell ref="AG2:AI2"/>
    <mergeCell ref="Z28:AA28"/>
    <mergeCell ref="AG28:AI28"/>
    <mergeCell ref="AQ28:AR28"/>
    <mergeCell ref="B27:D27"/>
    <mergeCell ref="B35:D35"/>
    <mergeCell ref="AK2:AM2"/>
    <mergeCell ref="AQ2:AR2"/>
    <mergeCell ref="Z15:AA15"/>
    <mergeCell ref="AG15:AI15"/>
    <mergeCell ref="AK15:AM15"/>
    <mergeCell ref="AQ15:AR15"/>
    <mergeCell ref="C4:E4"/>
    <mergeCell ref="AK28:AM28"/>
    <mergeCell ref="D28:E28"/>
    <mergeCell ref="C5:E5"/>
    <mergeCell ref="C6:E6"/>
    <mergeCell ref="B2:E2"/>
    <mergeCell ref="B25:D25"/>
  </mergeCells>
  <phoneticPr fontId="2" type="noConversion"/>
  <conditionalFormatting sqref="AK4:AM13">
    <cfRule type="cellIs" dxfId="7" priority="12" stopIfTrue="1" operator="equal">
      <formula>TRUE</formula>
    </cfRule>
  </conditionalFormatting>
  <conditionalFormatting sqref="AK17:AM26">
    <cfRule type="cellIs" dxfId="6" priority="11" stopIfTrue="1" operator="equal">
      <formula>TRUE</formula>
    </cfRule>
  </conditionalFormatting>
  <conditionalFormatting sqref="AK30:AM39">
    <cfRule type="cellIs" dxfId="5" priority="9" stopIfTrue="1" operator="equal">
      <formula>TRUE</formula>
    </cfRule>
  </conditionalFormatting>
  <conditionalFormatting sqref="G50">
    <cfRule type="cellIs" dxfId="4" priority="7" stopIfTrue="1" operator="greaterThan">
      <formula>3</formula>
    </cfRule>
  </conditionalFormatting>
  <conditionalFormatting sqref="D50:E50">
    <cfRule type="cellIs" dxfId="3" priority="8" stopIfTrue="1" operator="greaterThan">
      <formula>3</formula>
    </cfRule>
  </conditionalFormatting>
  <conditionalFormatting sqref="AO4:AP13">
    <cfRule type="cellIs" dxfId="2" priority="3" stopIfTrue="1" operator="equal">
      <formula>TRUE</formula>
    </cfRule>
  </conditionalFormatting>
  <conditionalFormatting sqref="AO17:AP26">
    <cfRule type="cellIs" dxfId="1" priority="2" stopIfTrue="1" operator="equal">
      <formula>TRUE</formula>
    </cfRule>
  </conditionalFormatting>
  <conditionalFormatting sqref="AO30:AP39">
    <cfRule type="cellIs" dxfId="0" priority="1" stopIfTrue="1" operator="equal">
      <formula>TRUE</formula>
    </cfRule>
  </conditionalFormatting>
  <dataValidations count="4">
    <dataValidation type="list" allowBlank="1" showInputMessage="1" showErrorMessage="1" sqref="G32 D32:E32" xr:uid="{00000000-0002-0000-0700-000000000000}">
      <formula1>Control_DU_Tr</formula1>
    </dataValidation>
    <dataValidation type="list" allowBlank="1" showInputMessage="1" showErrorMessage="1" sqref="D30" xr:uid="{00000000-0002-0000-0700-000001000000}">
      <formula1>Grafik</formula1>
    </dataValidation>
    <dataValidation type="list" allowBlank="1" showInputMessage="1" showErrorMessage="1" sqref="G30" xr:uid="{00000000-0002-0000-0700-000002000000}">
      <formula1>TemperGVS</formula1>
    </dataValidation>
    <dataValidation type="list" allowBlank="1" showInputMessage="1" showErrorMessage="1" sqref="E25" xr:uid="{0267F7D6-2606-4E4C-B453-A8174AED716E}">
      <formula1>Метод_подбора</formula1>
    </dataValidation>
  </dataValidations>
  <pageMargins left="0.25" right="0.25" top="0.75" bottom="0.75" header="0.3" footer="0.3"/>
  <pageSetup paperSize="9" scale="6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22</vt:i4>
      </vt:variant>
    </vt:vector>
  </HeadingPairs>
  <TitlesOfParts>
    <vt:vector size="31" baseType="lpstr">
      <vt:lpstr>Содержание</vt:lpstr>
      <vt:lpstr>Схема 1</vt:lpstr>
      <vt:lpstr>Схема 2</vt:lpstr>
      <vt:lpstr>Схема 3_вариант 1</vt:lpstr>
      <vt:lpstr>Схема 3_вариант 2</vt:lpstr>
      <vt:lpstr>Схема 4_вариант 1</vt:lpstr>
      <vt:lpstr>Схема 4_вариант 2</vt:lpstr>
      <vt:lpstr>Схема 5</vt:lpstr>
      <vt:lpstr>Схема 6</vt:lpstr>
      <vt:lpstr>Control_DU_Tr</vt:lpstr>
      <vt:lpstr>DU_tr</vt:lpstr>
      <vt:lpstr>DyTr_New</vt:lpstr>
      <vt:lpstr>Grafik</vt:lpstr>
      <vt:lpstr>GrafikGVS</vt:lpstr>
      <vt:lpstr>InterpolCoeff</vt:lpstr>
      <vt:lpstr>ParamKM_New</vt:lpstr>
      <vt:lpstr>ParamPiterflow</vt:lpstr>
      <vt:lpstr>TemperGrafik</vt:lpstr>
      <vt:lpstr>TemperGrafikGVS</vt:lpstr>
      <vt:lpstr>TemperGVS</vt:lpstr>
      <vt:lpstr>TypePFlow</vt:lpstr>
      <vt:lpstr>Метод_подбора</vt:lpstr>
      <vt:lpstr>Содержание!Область_печати</vt:lpstr>
      <vt:lpstr>'Схема 1'!Область_печати</vt:lpstr>
      <vt:lpstr>'Схема 2'!Область_печати</vt:lpstr>
      <vt:lpstr>'Схема 3_вариант 1'!Область_печати</vt:lpstr>
      <vt:lpstr>'Схема 3_вариант 2'!Область_печати</vt:lpstr>
      <vt:lpstr>'Схема 4_вариант 1'!Область_печати</vt:lpstr>
      <vt:lpstr>'Схема 4_вариант 2'!Область_печати</vt:lpstr>
      <vt:lpstr>'Схема 5'!Область_печати</vt:lpstr>
      <vt:lpstr>'Схема 6'!Область_печати</vt:lpstr>
    </vt:vector>
  </TitlesOfParts>
  <Company>ТЕПЛОКОМ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Подбор расходомеров ПРЭМ для ЖКХ</dc:title>
  <dc:creator>Птухов Александр Викторович</dc:creator>
  <dc:description/>
  <cp:lastModifiedBy>Птухов Александр Викторович</cp:lastModifiedBy>
  <cp:lastPrinted>2024-01-30T07:45:35Z</cp:lastPrinted>
  <dcterms:created xsi:type="dcterms:W3CDTF">2009-10-12T07:18:18Z</dcterms:created>
  <dcterms:modified xsi:type="dcterms:W3CDTF">2024-02-09T08:08:23Z</dcterms:modified>
  <cp:category>Отдел развития продаж</cp:category>
</cp:coreProperties>
</file>